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autoCompressPictures="0"/>
  <mc:AlternateContent xmlns:mc="http://schemas.openxmlformats.org/markup-compatibility/2006">
    <mc:Choice Requires="x15">
      <x15ac:absPath xmlns:x15ac="http://schemas.microsoft.com/office/spreadsheetml/2010/11/ac" url="C:\Users\hopwood\Desktop\AB20 Proposal Elements\"/>
    </mc:Choice>
  </mc:AlternateContent>
  <bookViews>
    <workbookView xWindow="0" yWindow="0" windowWidth="28800" windowHeight="12435" tabRatio="848"/>
  </bookViews>
  <sheets>
    <sheet name="Exhibit B " sheetId="3" r:id="rId1"/>
    <sheet name="Prog Inc (if app)" sheetId="12" r:id="rId2"/>
    <sheet name="Personnel" sheetId="5" r:id="rId3"/>
    <sheet name="Travel" sheetId="4" r:id="rId4"/>
    <sheet name="M&amp;S" sheetId="8" r:id="rId5"/>
    <sheet name="Equip" sheetId="9" r:id="rId6"/>
    <sheet name="Consultant" sheetId="10" r:id="rId7"/>
    <sheet name="Subrecipient" sheetId="6" r:id="rId8"/>
    <sheet name="ODCs" sheetId="11" r:id="rId9"/>
    <sheet name="Budget Info &amp; Rates" sheetId="7" r:id="rId10"/>
  </sheets>
  <definedNames>
    <definedName name="_xlnm.Print_Area" localSheetId="6">Consultant!$A$1:$G$23</definedName>
    <definedName name="_xlnm.Print_Area" localSheetId="5">Equip!$A$1:$G$23</definedName>
    <definedName name="_xlnm.Print_Area" localSheetId="0">'Exhibit B '!$A$1:$H$39</definedName>
    <definedName name="_xlnm.Print_Area" localSheetId="4">'M&amp;S'!$A$1:$G$23</definedName>
    <definedName name="_xlnm.Print_Area" localSheetId="8">ODCs!$A$1:$G$23</definedName>
    <definedName name="_xlnm.Print_Area" localSheetId="2">Personnel!$A$1:$P$38</definedName>
    <definedName name="_xlnm.Print_Area" localSheetId="7">Subrecipient!$A$1:$J$14</definedName>
    <definedName name="_xlnm.Print_Area" localSheetId="3">Travel!$A$1:$P$29</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36" i="5" l="1"/>
  <c r="E54" i="5"/>
  <c r="E72" i="5"/>
  <c r="L72" i="5"/>
  <c r="D35" i="5"/>
  <c r="D53" i="5"/>
  <c r="D71" i="5"/>
  <c r="M71" i="5"/>
  <c r="E35" i="5"/>
  <c r="E53" i="5"/>
  <c r="E71" i="5"/>
  <c r="L71" i="5"/>
  <c r="M70" i="5"/>
  <c r="E34" i="5"/>
  <c r="E52" i="5"/>
  <c r="E70" i="5"/>
  <c r="L70" i="5"/>
  <c r="E33" i="5"/>
  <c r="E51" i="5"/>
  <c r="E69" i="5"/>
  <c r="L69" i="5"/>
  <c r="E32" i="5"/>
  <c r="E50" i="5"/>
  <c r="E68" i="5"/>
  <c r="L68" i="5"/>
  <c r="E31" i="5"/>
  <c r="E49" i="5"/>
  <c r="E67" i="5"/>
  <c r="L67" i="5"/>
  <c r="L54" i="5"/>
  <c r="M53" i="5"/>
  <c r="L53" i="5"/>
  <c r="M52" i="5"/>
  <c r="L52" i="5"/>
  <c r="L51" i="5"/>
  <c r="L50" i="5"/>
  <c r="L49" i="5"/>
  <c r="L36" i="5"/>
  <c r="M35" i="5"/>
  <c r="L35" i="5"/>
  <c r="M34" i="5"/>
  <c r="L34" i="5"/>
  <c r="L33" i="5"/>
  <c r="L32" i="5"/>
  <c r="L31" i="5"/>
  <c r="M17" i="5"/>
  <c r="M16" i="5"/>
  <c r="L18" i="5"/>
  <c r="L17" i="5"/>
  <c r="L16" i="5"/>
  <c r="F31" i="5"/>
  <c r="F49" i="5"/>
  <c r="F67" i="5"/>
  <c r="K67" i="5"/>
  <c r="N67" i="5"/>
  <c r="O67" i="5"/>
  <c r="F32" i="5"/>
  <c r="F50" i="5"/>
  <c r="F68" i="5"/>
  <c r="K68" i="5"/>
  <c r="N68" i="5"/>
  <c r="O68" i="5"/>
  <c r="F33" i="5"/>
  <c r="F51" i="5"/>
  <c r="F69" i="5"/>
  <c r="K69" i="5"/>
  <c r="N69" i="5"/>
  <c r="O69" i="5"/>
  <c r="F34" i="5"/>
  <c r="F52" i="5"/>
  <c r="F70" i="5"/>
  <c r="I70" i="5"/>
  <c r="K70" i="5"/>
  <c r="N70" i="5"/>
  <c r="O70" i="5"/>
  <c r="F35" i="5"/>
  <c r="F53" i="5"/>
  <c r="F71" i="5"/>
  <c r="K71" i="5"/>
  <c r="N71" i="5"/>
  <c r="O71" i="5"/>
  <c r="F36" i="5"/>
  <c r="F54" i="5"/>
  <c r="F72" i="5"/>
  <c r="K72" i="5"/>
  <c r="N72" i="5"/>
  <c r="O72" i="5"/>
  <c r="O73" i="5"/>
  <c r="F25" i="5"/>
  <c r="F43" i="5"/>
  <c r="F61" i="5"/>
  <c r="K61" i="5"/>
  <c r="E25" i="5"/>
  <c r="E43" i="5"/>
  <c r="E61" i="5"/>
  <c r="L61" i="5"/>
  <c r="N61" i="5"/>
  <c r="O61" i="5"/>
  <c r="F26" i="5"/>
  <c r="F44" i="5"/>
  <c r="F62" i="5"/>
  <c r="K62" i="5"/>
  <c r="E26" i="5"/>
  <c r="E44" i="5"/>
  <c r="E62" i="5"/>
  <c r="L62" i="5"/>
  <c r="N62" i="5"/>
  <c r="O62" i="5"/>
  <c r="F27" i="5"/>
  <c r="F45" i="5"/>
  <c r="F63" i="5"/>
  <c r="K63" i="5"/>
  <c r="E27" i="5"/>
  <c r="E45" i="5"/>
  <c r="E63" i="5"/>
  <c r="L63" i="5"/>
  <c r="N63" i="5"/>
  <c r="O63" i="5"/>
  <c r="F28" i="5"/>
  <c r="F46" i="5"/>
  <c r="F64" i="5"/>
  <c r="K64" i="5"/>
  <c r="E28" i="5"/>
  <c r="E46" i="5"/>
  <c r="E64" i="5"/>
  <c r="L64" i="5"/>
  <c r="N64" i="5"/>
  <c r="O64" i="5"/>
  <c r="F29" i="5"/>
  <c r="F47" i="5"/>
  <c r="F65" i="5"/>
  <c r="K65" i="5"/>
  <c r="E29" i="5"/>
  <c r="E47" i="5"/>
  <c r="E65" i="5"/>
  <c r="L65" i="5"/>
  <c r="N65" i="5"/>
  <c r="O65" i="5"/>
  <c r="O66" i="5"/>
  <c r="O74" i="5"/>
  <c r="N73" i="5"/>
  <c r="N66" i="5"/>
  <c r="N74" i="5"/>
  <c r="K66" i="5"/>
  <c r="K73" i="5"/>
  <c r="K74" i="5"/>
  <c r="N75" i="5"/>
  <c r="O75" i="5"/>
  <c r="K49" i="5"/>
  <c r="N49" i="5"/>
  <c r="K50" i="5"/>
  <c r="N50" i="5"/>
  <c r="K51" i="5"/>
  <c r="N51" i="5"/>
  <c r="I52" i="5"/>
  <c r="K52" i="5"/>
  <c r="N52" i="5"/>
  <c r="K53" i="5"/>
  <c r="N53" i="5"/>
  <c r="K54" i="5"/>
  <c r="N54" i="5"/>
  <c r="N55" i="5"/>
  <c r="K43" i="5"/>
  <c r="L43" i="5"/>
  <c r="N43" i="5"/>
  <c r="K44" i="5"/>
  <c r="L44" i="5"/>
  <c r="N44" i="5"/>
  <c r="K45" i="5"/>
  <c r="L45" i="5"/>
  <c r="N45" i="5"/>
  <c r="K46" i="5"/>
  <c r="L46" i="5"/>
  <c r="N46" i="5"/>
  <c r="K47" i="5"/>
  <c r="L47" i="5"/>
  <c r="N47" i="5"/>
  <c r="N48" i="5"/>
  <c r="N56" i="5"/>
  <c r="K48" i="5"/>
  <c r="K55" i="5"/>
  <c r="K56" i="5"/>
  <c r="N57" i="5"/>
  <c r="O49" i="5"/>
  <c r="O50" i="5"/>
  <c r="O51" i="5"/>
  <c r="O52" i="5"/>
  <c r="O53" i="5"/>
  <c r="O54" i="5"/>
  <c r="O55" i="5"/>
  <c r="O43" i="5"/>
  <c r="O44" i="5"/>
  <c r="O45" i="5"/>
  <c r="O46" i="5"/>
  <c r="O47" i="5"/>
  <c r="O48" i="5"/>
  <c r="O56" i="5"/>
  <c r="O57" i="5"/>
  <c r="K31" i="5"/>
  <c r="N31" i="5"/>
  <c r="K32" i="5"/>
  <c r="N32" i="5"/>
  <c r="K33" i="5"/>
  <c r="N33" i="5"/>
  <c r="I34" i="5"/>
  <c r="K34" i="5"/>
  <c r="N34" i="5"/>
  <c r="K35" i="5"/>
  <c r="N35" i="5"/>
  <c r="K36" i="5"/>
  <c r="N36" i="5"/>
  <c r="N37" i="5"/>
  <c r="K25" i="5"/>
  <c r="L25" i="5"/>
  <c r="N25" i="5"/>
  <c r="K26" i="5"/>
  <c r="L26" i="5"/>
  <c r="N26" i="5"/>
  <c r="K27" i="5"/>
  <c r="L27" i="5"/>
  <c r="N27" i="5"/>
  <c r="K28" i="5"/>
  <c r="L28" i="5"/>
  <c r="N28" i="5"/>
  <c r="K29" i="5"/>
  <c r="L29" i="5"/>
  <c r="N29" i="5"/>
  <c r="N30" i="5"/>
  <c r="N38" i="5"/>
  <c r="K30" i="5"/>
  <c r="K37" i="5"/>
  <c r="K38" i="5"/>
  <c r="N39" i="5"/>
  <c r="O31" i="5"/>
  <c r="O32" i="5"/>
  <c r="O33" i="5"/>
  <c r="O34" i="5"/>
  <c r="O35" i="5"/>
  <c r="O36" i="5"/>
  <c r="O37" i="5"/>
  <c r="O25" i="5"/>
  <c r="O26" i="5"/>
  <c r="O27" i="5"/>
  <c r="O28" i="5"/>
  <c r="O29" i="5"/>
  <c r="O30" i="5"/>
  <c r="O38" i="5"/>
  <c r="O39" i="5"/>
  <c r="I16" i="5"/>
  <c r="K16" i="5"/>
  <c r="N16" i="5"/>
  <c r="K17" i="5"/>
  <c r="N17" i="5"/>
  <c r="K18" i="5"/>
  <c r="N18" i="5"/>
  <c r="K13" i="5"/>
  <c r="L13" i="5"/>
  <c r="N13" i="5"/>
  <c r="K14" i="5"/>
  <c r="L14" i="5"/>
  <c r="N14" i="5"/>
  <c r="K15" i="5"/>
  <c r="L15" i="5"/>
  <c r="N15" i="5"/>
  <c r="N19" i="5"/>
  <c r="K7" i="5"/>
  <c r="L7" i="5"/>
  <c r="N7" i="5"/>
  <c r="K8" i="5"/>
  <c r="L8" i="5"/>
  <c r="N8" i="5"/>
  <c r="K9" i="5"/>
  <c r="L9" i="5"/>
  <c r="N9" i="5"/>
  <c r="K10" i="5"/>
  <c r="L10" i="5"/>
  <c r="N10" i="5"/>
  <c r="K11" i="5"/>
  <c r="L11" i="5"/>
  <c r="N11" i="5"/>
  <c r="N12" i="5"/>
  <c r="N20" i="5"/>
  <c r="K12" i="5"/>
  <c r="K19" i="5"/>
  <c r="K20" i="5"/>
  <c r="L20" i="5"/>
  <c r="O16" i="5"/>
  <c r="O17" i="5"/>
  <c r="O18" i="5"/>
  <c r="O13" i="5"/>
  <c r="O14" i="5"/>
  <c r="O15" i="5"/>
  <c r="O19" i="5"/>
  <c r="O7" i="5"/>
  <c r="O8" i="5"/>
  <c r="O9" i="5"/>
  <c r="O10" i="5"/>
  <c r="O11" i="5"/>
  <c r="O12" i="5"/>
  <c r="O20" i="5"/>
  <c r="D10" i="3"/>
  <c r="J7" i="4"/>
  <c r="K7" i="4"/>
  <c r="L7" i="4"/>
  <c r="M7" i="4"/>
  <c r="O7" i="4"/>
  <c r="O8" i="4"/>
  <c r="J9" i="4"/>
  <c r="K9" i="4"/>
  <c r="L9" i="4"/>
  <c r="M9" i="4"/>
  <c r="O9" i="4"/>
  <c r="J10" i="4"/>
  <c r="K10" i="4"/>
  <c r="L10" i="4"/>
  <c r="M10" i="4"/>
  <c r="O10" i="4"/>
  <c r="J11" i="4"/>
  <c r="K11" i="4"/>
  <c r="L11" i="4"/>
  <c r="M11" i="4"/>
  <c r="O11" i="4"/>
  <c r="J12" i="4"/>
  <c r="K12" i="4"/>
  <c r="L12" i="4"/>
  <c r="M12" i="4"/>
  <c r="O12" i="4"/>
  <c r="J13" i="4"/>
  <c r="K13" i="4"/>
  <c r="L13" i="4"/>
  <c r="M13" i="4"/>
  <c r="O13" i="4"/>
  <c r="J14" i="4"/>
  <c r="K14" i="4"/>
  <c r="L14" i="4"/>
  <c r="M14" i="4"/>
  <c r="O14" i="4"/>
  <c r="O15" i="4"/>
  <c r="D11" i="3"/>
  <c r="F6" i="8"/>
  <c r="F7" i="8"/>
  <c r="F8" i="8"/>
  <c r="F9" i="8"/>
  <c r="F10" i="8"/>
  <c r="F11" i="8"/>
  <c r="F12" i="8"/>
  <c r="D12" i="3"/>
  <c r="F6" i="9"/>
  <c r="F7" i="9"/>
  <c r="F8" i="9"/>
  <c r="F9" i="9"/>
  <c r="F10" i="9"/>
  <c r="F11" i="9"/>
  <c r="F12" i="9"/>
  <c r="D13" i="3"/>
  <c r="F6" i="10"/>
  <c r="F7" i="10"/>
  <c r="F8" i="10"/>
  <c r="F9" i="10"/>
  <c r="F10" i="10"/>
  <c r="F11" i="10"/>
  <c r="F12" i="10"/>
  <c r="D14" i="3"/>
  <c r="F14" i="6"/>
  <c r="D15" i="3"/>
  <c r="F6" i="11"/>
  <c r="D17" i="3"/>
  <c r="F7" i="11"/>
  <c r="D18" i="3"/>
  <c r="F8" i="11"/>
  <c r="D19" i="3"/>
  <c r="F9" i="11"/>
  <c r="D20" i="3"/>
  <c r="F10" i="11"/>
  <c r="D21" i="3"/>
  <c r="F11" i="11"/>
  <c r="D22" i="3"/>
  <c r="D23" i="3"/>
  <c r="E10" i="3"/>
  <c r="J20" i="4"/>
  <c r="K20" i="4"/>
  <c r="L20" i="4"/>
  <c r="M20" i="4"/>
  <c r="O20" i="4"/>
  <c r="O21" i="4"/>
  <c r="J22" i="4"/>
  <c r="K22" i="4"/>
  <c r="L22" i="4"/>
  <c r="M22" i="4"/>
  <c r="O22" i="4"/>
  <c r="J23" i="4"/>
  <c r="K23" i="4"/>
  <c r="L23" i="4"/>
  <c r="M23" i="4"/>
  <c r="O23" i="4"/>
  <c r="J24" i="4"/>
  <c r="K24" i="4"/>
  <c r="L24" i="4"/>
  <c r="M24" i="4"/>
  <c r="O24" i="4"/>
  <c r="J25" i="4"/>
  <c r="K25" i="4"/>
  <c r="L25" i="4"/>
  <c r="M25" i="4"/>
  <c r="O25" i="4"/>
  <c r="J26" i="4"/>
  <c r="K26" i="4"/>
  <c r="L26" i="4"/>
  <c r="M26" i="4"/>
  <c r="O26" i="4"/>
  <c r="J27" i="4"/>
  <c r="K27" i="4"/>
  <c r="L27" i="4"/>
  <c r="M27" i="4"/>
  <c r="O27" i="4"/>
  <c r="O28" i="4"/>
  <c r="E11" i="3"/>
  <c r="C16" i="8"/>
  <c r="F16" i="8"/>
  <c r="C17" i="8"/>
  <c r="F17" i="8"/>
  <c r="C18" i="8"/>
  <c r="F18" i="8"/>
  <c r="C19" i="8"/>
  <c r="F19" i="8"/>
  <c r="C20" i="8"/>
  <c r="F20" i="8"/>
  <c r="C21" i="8"/>
  <c r="F21" i="8"/>
  <c r="F22" i="8"/>
  <c r="E12" i="3"/>
  <c r="F16" i="9"/>
  <c r="F17" i="9"/>
  <c r="F18" i="9"/>
  <c r="F19" i="9"/>
  <c r="F20" i="9"/>
  <c r="F21" i="9"/>
  <c r="F22" i="9"/>
  <c r="E13" i="3"/>
  <c r="F16" i="10"/>
  <c r="F17" i="10"/>
  <c r="F18" i="10"/>
  <c r="F19" i="10"/>
  <c r="F20" i="10"/>
  <c r="F21" i="10"/>
  <c r="F22" i="10"/>
  <c r="E14" i="3"/>
  <c r="G14" i="6"/>
  <c r="E15" i="3"/>
  <c r="F16" i="11"/>
  <c r="E17" i="3"/>
  <c r="E17" i="11"/>
  <c r="C17" i="11"/>
  <c r="F17" i="11"/>
  <c r="E18" i="3"/>
  <c r="E18" i="11"/>
  <c r="C18" i="11"/>
  <c r="F18" i="11"/>
  <c r="E19" i="3"/>
  <c r="E19" i="11"/>
  <c r="C19" i="11"/>
  <c r="F19" i="11"/>
  <c r="E20" i="3"/>
  <c r="E20" i="11"/>
  <c r="C20" i="11"/>
  <c r="F20" i="11"/>
  <c r="E21" i="3"/>
  <c r="E21" i="11"/>
  <c r="C21" i="11"/>
  <c r="F21" i="11"/>
  <c r="E22" i="3"/>
  <c r="E23" i="3"/>
  <c r="F10" i="3"/>
  <c r="J33" i="4"/>
  <c r="K33" i="4"/>
  <c r="L33" i="4"/>
  <c r="M33" i="4"/>
  <c r="O33" i="4"/>
  <c r="O34" i="4"/>
  <c r="J35" i="4"/>
  <c r="K35" i="4"/>
  <c r="L35" i="4"/>
  <c r="M35" i="4"/>
  <c r="O35" i="4"/>
  <c r="J36" i="4"/>
  <c r="K36" i="4"/>
  <c r="L36" i="4"/>
  <c r="M36" i="4"/>
  <c r="O36" i="4"/>
  <c r="J37" i="4"/>
  <c r="K37" i="4"/>
  <c r="L37" i="4"/>
  <c r="M37" i="4"/>
  <c r="O37" i="4"/>
  <c r="J38" i="4"/>
  <c r="K38" i="4"/>
  <c r="L38" i="4"/>
  <c r="M38" i="4"/>
  <c r="O38" i="4"/>
  <c r="J39" i="4"/>
  <c r="K39" i="4"/>
  <c r="L39" i="4"/>
  <c r="M39" i="4"/>
  <c r="O39" i="4"/>
  <c r="J40" i="4"/>
  <c r="K40" i="4"/>
  <c r="L40" i="4"/>
  <c r="M40" i="4"/>
  <c r="O40" i="4"/>
  <c r="O41" i="4"/>
  <c r="F11" i="3"/>
  <c r="C26" i="8"/>
  <c r="F26" i="8"/>
  <c r="C27" i="8"/>
  <c r="F27" i="8"/>
  <c r="C28" i="8"/>
  <c r="F28" i="8"/>
  <c r="C29" i="8"/>
  <c r="F29" i="8"/>
  <c r="C30" i="8"/>
  <c r="F30" i="8"/>
  <c r="C31" i="8"/>
  <c r="F31" i="8"/>
  <c r="F32" i="8"/>
  <c r="F12" i="3"/>
  <c r="F26" i="9"/>
  <c r="F27" i="9"/>
  <c r="F28" i="9"/>
  <c r="F29" i="9"/>
  <c r="F30" i="9"/>
  <c r="F31" i="9"/>
  <c r="F32" i="9"/>
  <c r="F13" i="3"/>
  <c r="F26" i="10"/>
  <c r="F27" i="10"/>
  <c r="F28" i="10"/>
  <c r="F29" i="10"/>
  <c r="F30" i="10"/>
  <c r="F31" i="10"/>
  <c r="F32" i="10"/>
  <c r="F14" i="3"/>
  <c r="H14" i="6"/>
  <c r="F15" i="3"/>
  <c r="F26" i="11"/>
  <c r="F17" i="3"/>
  <c r="C27" i="11"/>
  <c r="F27" i="11"/>
  <c r="F18" i="3"/>
  <c r="C28" i="11"/>
  <c r="F28" i="11"/>
  <c r="F19" i="3"/>
  <c r="E29" i="11"/>
  <c r="C29" i="11"/>
  <c r="F29" i="11"/>
  <c r="F20" i="3"/>
  <c r="E30" i="11"/>
  <c r="C30" i="11"/>
  <c r="F30" i="11"/>
  <c r="F21" i="3"/>
  <c r="E31" i="11"/>
  <c r="C31" i="11"/>
  <c r="F31" i="11"/>
  <c r="F22" i="3"/>
  <c r="F23" i="3"/>
  <c r="G10" i="3"/>
  <c r="J46" i="4"/>
  <c r="K46" i="4"/>
  <c r="L46" i="4"/>
  <c r="M46" i="4"/>
  <c r="O46" i="4"/>
  <c r="J47" i="4"/>
  <c r="K47" i="4"/>
  <c r="L47" i="4"/>
  <c r="M47" i="4"/>
  <c r="O47" i="4"/>
  <c r="J48" i="4"/>
  <c r="K48" i="4"/>
  <c r="L48" i="4"/>
  <c r="M48" i="4"/>
  <c r="O48" i="4"/>
  <c r="J49" i="4"/>
  <c r="K49" i="4"/>
  <c r="L49" i="4"/>
  <c r="M49" i="4"/>
  <c r="O49" i="4"/>
  <c r="J50" i="4"/>
  <c r="K50" i="4"/>
  <c r="L50" i="4"/>
  <c r="M50" i="4"/>
  <c r="O50" i="4"/>
  <c r="J51" i="4"/>
  <c r="K51" i="4"/>
  <c r="L51" i="4"/>
  <c r="M51" i="4"/>
  <c r="O51" i="4"/>
  <c r="J52" i="4"/>
  <c r="K52" i="4"/>
  <c r="L52" i="4"/>
  <c r="M52" i="4"/>
  <c r="O52" i="4"/>
  <c r="J53" i="4"/>
  <c r="K53" i="4"/>
  <c r="L53" i="4"/>
  <c r="M53" i="4"/>
  <c r="O53" i="4"/>
  <c r="O54" i="4"/>
  <c r="G11" i="3"/>
  <c r="C36" i="8"/>
  <c r="F36" i="8"/>
  <c r="C37" i="8"/>
  <c r="F37" i="8"/>
  <c r="C38" i="8"/>
  <c r="F38" i="8"/>
  <c r="C39" i="8"/>
  <c r="F39" i="8"/>
  <c r="C40" i="8"/>
  <c r="F40" i="8"/>
  <c r="C41" i="8"/>
  <c r="F41" i="8"/>
  <c r="F42" i="8"/>
  <c r="G12" i="3"/>
  <c r="F36" i="9"/>
  <c r="F37" i="9"/>
  <c r="F38" i="9"/>
  <c r="F39" i="9"/>
  <c r="F40" i="9"/>
  <c r="F41" i="9"/>
  <c r="F42" i="9"/>
  <c r="G13" i="3"/>
  <c r="F36" i="10"/>
  <c r="F37" i="10"/>
  <c r="F38" i="10"/>
  <c r="F39" i="10"/>
  <c r="F40" i="10"/>
  <c r="F41" i="10"/>
  <c r="F42" i="10"/>
  <c r="G14" i="3"/>
  <c r="I14" i="6"/>
  <c r="G15" i="3"/>
  <c r="F36" i="11"/>
  <c r="G17" i="3"/>
  <c r="F37" i="11"/>
  <c r="G18" i="3"/>
  <c r="C38" i="11"/>
  <c r="F38" i="11"/>
  <c r="G19" i="3"/>
  <c r="C39" i="11"/>
  <c r="F39" i="11"/>
  <c r="G20" i="3"/>
  <c r="C40" i="11"/>
  <c r="F40" i="11"/>
  <c r="G21" i="3"/>
  <c r="C41" i="11"/>
  <c r="F41" i="11"/>
  <c r="G22" i="3"/>
  <c r="G23" i="3"/>
  <c r="J23" i="3"/>
  <c r="M20" i="5"/>
  <c r="P20" i="5"/>
  <c r="P15" i="4"/>
  <c r="G12" i="8"/>
  <c r="G12" i="10"/>
  <c r="K6" i="6"/>
  <c r="K7" i="6"/>
  <c r="K8" i="6"/>
  <c r="K9" i="6"/>
  <c r="K10" i="6"/>
  <c r="K11" i="6"/>
  <c r="K12" i="6"/>
  <c r="K13" i="6"/>
  <c r="K14" i="6"/>
  <c r="G6" i="11"/>
  <c r="G7" i="11"/>
  <c r="G8" i="11"/>
  <c r="G9" i="11"/>
  <c r="G10" i="11"/>
  <c r="G11" i="11"/>
  <c r="G12" i="11"/>
  <c r="D26" i="3"/>
  <c r="M38" i="5"/>
  <c r="P38" i="5"/>
  <c r="P28" i="4"/>
  <c r="G22" i="8"/>
  <c r="G22" i="10"/>
  <c r="L6" i="6"/>
  <c r="L7" i="6"/>
  <c r="L8" i="6"/>
  <c r="L9" i="6"/>
  <c r="L10" i="6"/>
  <c r="L11" i="6"/>
  <c r="L12" i="6"/>
  <c r="L13" i="6"/>
  <c r="L14" i="6"/>
  <c r="G16" i="11"/>
  <c r="G17" i="11"/>
  <c r="G18" i="11"/>
  <c r="G19" i="11"/>
  <c r="G20" i="11"/>
  <c r="G21" i="11"/>
  <c r="G22" i="11"/>
  <c r="E26" i="3"/>
  <c r="M56" i="5"/>
  <c r="P56" i="5"/>
  <c r="P41" i="4"/>
  <c r="G32" i="8"/>
  <c r="G32" i="10"/>
  <c r="M6" i="6"/>
  <c r="M7" i="6"/>
  <c r="M8" i="6"/>
  <c r="M9" i="6"/>
  <c r="M10" i="6"/>
  <c r="M11" i="6"/>
  <c r="M12" i="6"/>
  <c r="M13" i="6"/>
  <c r="M14" i="6"/>
  <c r="G26" i="11"/>
  <c r="G27" i="11"/>
  <c r="G28" i="11"/>
  <c r="G29" i="11"/>
  <c r="G30" i="11"/>
  <c r="G31" i="11"/>
  <c r="G32" i="11"/>
  <c r="F26" i="3"/>
  <c r="M74" i="5"/>
  <c r="P74" i="5"/>
  <c r="P54" i="4"/>
  <c r="G42" i="8"/>
  <c r="G42" i="10"/>
  <c r="N6" i="6"/>
  <c r="N7" i="6"/>
  <c r="N8" i="6"/>
  <c r="N9" i="6"/>
  <c r="N10" i="6"/>
  <c r="N11" i="6"/>
  <c r="N12" i="6"/>
  <c r="N13" i="6"/>
  <c r="N14" i="6"/>
  <c r="G36" i="11"/>
  <c r="G37" i="11"/>
  <c r="G38" i="11"/>
  <c r="G39" i="11"/>
  <c r="G40" i="11"/>
  <c r="G41" i="11"/>
  <c r="G42" i="11"/>
  <c r="G26" i="3"/>
  <c r="J26" i="3"/>
  <c r="K45" i="3"/>
  <c r="D41" i="3"/>
  <c r="F17" i="6"/>
  <c r="D42" i="3"/>
  <c r="D43" i="3"/>
  <c r="C17" i="3"/>
  <c r="L17" i="3"/>
  <c r="C18" i="3"/>
  <c r="L18" i="3"/>
  <c r="C19" i="3"/>
  <c r="L19" i="3"/>
  <c r="C20" i="3"/>
  <c r="L20" i="3"/>
  <c r="C21" i="3"/>
  <c r="L21" i="3"/>
  <c r="C22" i="3"/>
  <c r="L22" i="3"/>
  <c r="L23" i="3"/>
  <c r="D44" i="3"/>
  <c r="D45" i="3"/>
  <c r="E41" i="3"/>
  <c r="G17" i="6"/>
  <c r="E42" i="3"/>
  <c r="E43" i="3"/>
  <c r="M17" i="3"/>
  <c r="M18" i="3"/>
  <c r="M19" i="3"/>
  <c r="M20" i="3"/>
  <c r="M21" i="3"/>
  <c r="M22" i="3"/>
  <c r="M23" i="3"/>
  <c r="E44" i="3"/>
  <c r="E45" i="3"/>
  <c r="F41" i="3"/>
  <c r="H17" i="6"/>
  <c r="F42" i="3"/>
  <c r="F43" i="3"/>
  <c r="N17" i="3"/>
  <c r="N18" i="3"/>
  <c r="N19" i="3"/>
  <c r="N20" i="3"/>
  <c r="N21" i="3"/>
  <c r="N22" i="3"/>
  <c r="N23" i="3"/>
  <c r="F44" i="3"/>
  <c r="F45" i="3"/>
  <c r="G41" i="3"/>
  <c r="I17" i="6"/>
  <c r="G42" i="3"/>
  <c r="G43" i="3"/>
  <c r="O17" i="3"/>
  <c r="O18" i="3"/>
  <c r="O19" i="3"/>
  <c r="O20" i="3"/>
  <c r="O21" i="3"/>
  <c r="O22" i="3"/>
  <c r="O23" i="3"/>
  <c r="G44" i="3"/>
  <c r="G45" i="3"/>
  <c r="K32" i="3"/>
  <c r="J41" i="3"/>
  <c r="J42" i="3"/>
  <c r="J43" i="3"/>
  <c r="J44" i="3"/>
  <c r="J45" i="3"/>
  <c r="J32" i="3"/>
  <c r="C27" i="3"/>
  <c r="D27" i="3"/>
  <c r="D28" i="3"/>
  <c r="E27" i="3"/>
  <c r="E28" i="3"/>
  <c r="F27" i="3"/>
  <c r="F28" i="3"/>
  <c r="G27" i="3"/>
  <c r="G28" i="3"/>
  <c r="H29" i="3"/>
  <c r="J28" i="3"/>
  <c r="J29" i="3"/>
  <c r="H40" i="3"/>
  <c r="F40" i="3"/>
  <c r="E40" i="3"/>
  <c r="D40" i="3"/>
  <c r="L74" i="5"/>
  <c r="I71" i="5"/>
  <c r="I53" i="5"/>
  <c r="I35" i="5"/>
  <c r="I18" i="5"/>
  <c r="I17" i="5"/>
  <c r="D33" i="5"/>
  <c r="D51" i="5"/>
  <c r="D69" i="5"/>
  <c r="C33" i="5"/>
  <c r="C51" i="5"/>
  <c r="C69" i="5"/>
  <c r="D32" i="5"/>
  <c r="D50" i="5"/>
  <c r="D68" i="5"/>
  <c r="C32" i="5"/>
  <c r="C50" i="5"/>
  <c r="C68" i="5"/>
  <c r="D31" i="5"/>
  <c r="D49" i="5"/>
  <c r="D67" i="5"/>
  <c r="C31" i="5"/>
  <c r="C49" i="5"/>
  <c r="C67" i="5"/>
  <c r="D29" i="5"/>
  <c r="D47" i="5"/>
  <c r="D65" i="5"/>
  <c r="C29" i="5"/>
  <c r="C47" i="5"/>
  <c r="C65" i="5"/>
  <c r="D28" i="5"/>
  <c r="D46" i="5"/>
  <c r="D64" i="5"/>
  <c r="C28" i="5"/>
  <c r="C46" i="5"/>
  <c r="C64" i="5"/>
  <c r="D26" i="5"/>
  <c r="D44" i="5"/>
  <c r="D62" i="5"/>
  <c r="C26" i="5"/>
  <c r="C44" i="5"/>
  <c r="C62" i="5"/>
  <c r="D25" i="5"/>
  <c r="D43" i="5"/>
  <c r="D61" i="5"/>
  <c r="C27" i="5"/>
  <c r="C45" i="5"/>
  <c r="C63" i="5"/>
  <c r="C34" i="5"/>
  <c r="C52" i="5"/>
  <c r="C70" i="5"/>
  <c r="D34" i="5"/>
  <c r="D52" i="5"/>
  <c r="D70" i="5"/>
  <c r="C35" i="5"/>
  <c r="C53" i="5"/>
  <c r="C71" i="5"/>
  <c r="C36" i="5"/>
  <c r="C54" i="5"/>
  <c r="C72" i="5"/>
  <c r="D36" i="5"/>
  <c r="D54" i="5"/>
  <c r="D72" i="5"/>
  <c r="D27" i="5"/>
  <c r="D45" i="5"/>
  <c r="D63" i="5"/>
  <c r="C7" i="5"/>
  <c r="G9" i="3"/>
  <c r="G40" i="3"/>
  <c r="I69" i="5"/>
  <c r="I68" i="5"/>
  <c r="I65" i="5"/>
  <c r="I64" i="5"/>
  <c r="L79" i="5"/>
  <c r="L80" i="5"/>
  <c r="L81" i="5"/>
  <c r="L82" i="5"/>
  <c r="L83" i="5"/>
  <c r="L85" i="5"/>
  <c r="L86" i="5"/>
  <c r="L87" i="5"/>
  <c r="L88" i="5"/>
  <c r="L89" i="5"/>
  <c r="L90" i="5"/>
  <c r="D92" i="5"/>
  <c r="D2" i="12"/>
  <c r="I8" i="12"/>
  <c r="I7" i="12"/>
  <c r="H8" i="12"/>
  <c r="H9" i="12"/>
  <c r="H7" i="12"/>
  <c r="G8" i="12"/>
  <c r="G9" i="12"/>
  <c r="G7" i="12"/>
  <c r="F5" i="12"/>
  <c r="D5" i="12"/>
  <c r="F46" i="11"/>
  <c r="A18" i="8"/>
  <c r="A28" i="8"/>
  <c r="A38" i="8"/>
  <c r="A48" i="8"/>
  <c r="A19" i="8"/>
  <c r="A29" i="8"/>
  <c r="A39" i="8"/>
  <c r="A49" i="8"/>
  <c r="A20" i="8"/>
  <c r="A30" i="8"/>
  <c r="A40" i="8"/>
  <c r="A50" i="8"/>
  <c r="A21" i="8"/>
  <c r="A31" i="8"/>
  <c r="A41" i="8"/>
  <c r="A51" i="8"/>
  <c r="M66" i="4"/>
  <c r="L66" i="4"/>
  <c r="K66" i="4"/>
  <c r="M65" i="4"/>
  <c r="L65" i="4"/>
  <c r="K65" i="4"/>
  <c r="M64" i="4"/>
  <c r="L64" i="4"/>
  <c r="K64" i="4"/>
  <c r="M63" i="4"/>
  <c r="L63" i="4"/>
  <c r="K63" i="4"/>
  <c r="M62" i="4"/>
  <c r="L62" i="4"/>
  <c r="K62" i="4"/>
  <c r="M61" i="4"/>
  <c r="L61" i="4"/>
  <c r="K61" i="4"/>
  <c r="M60" i="4"/>
  <c r="L60" i="4"/>
  <c r="K60" i="4"/>
  <c r="M59" i="4"/>
  <c r="L59" i="4"/>
  <c r="L67" i="4"/>
  <c r="K59" i="4"/>
  <c r="K54" i="4"/>
  <c r="M34" i="4"/>
  <c r="L34" i="4"/>
  <c r="K34" i="4"/>
  <c r="M21" i="4"/>
  <c r="M28" i="4"/>
  <c r="L21" i="4"/>
  <c r="L28" i="4"/>
  <c r="K21" i="4"/>
  <c r="M8" i="4"/>
  <c r="L8" i="4"/>
  <c r="K8" i="4"/>
  <c r="C7" i="6"/>
  <c r="C8" i="6"/>
  <c r="C9" i="6"/>
  <c r="C10" i="6"/>
  <c r="C11" i="6"/>
  <c r="C12" i="6"/>
  <c r="C13" i="6"/>
  <c r="C6" i="6"/>
  <c r="A17" i="8"/>
  <c r="A27" i="8"/>
  <c r="A37" i="8"/>
  <c r="A47" i="8"/>
  <c r="A16" i="8"/>
  <c r="A26" i="8"/>
  <c r="A36" i="8"/>
  <c r="A46" i="8"/>
  <c r="C25" i="5"/>
  <c r="C43" i="5"/>
  <c r="C61" i="5"/>
  <c r="D7" i="3"/>
  <c r="D8" i="3"/>
  <c r="E8" i="3"/>
  <c r="I67" i="4"/>
  <c r="H67" i="4"/>
  <c r="G67" i="4"/>
  <c r="J66" i="4"/>
  <c r="J65" i="4"/>
  <c r="J64" i="4"/>
  <c r="O64" i="4"/>
  <c r="J63" i="4"/>
  <c r="J62" i="4"/>
  <c r="J61" i="4"/>
  <c r="J60" i="4"/>
  <c r="O60" i="4"/>
  <c r="J59" i="4"/>
  <c r="I54" i="4"/>
  <c r="H54" i="4"/>
  <c r="G54" i="4"/>
  <c r="L54" i="4"/>
  <c r="I41" i="4"/>
  <c r="H41" i="4"/>
  <c r="G41" i="4"/>
  <c r="J34" i="4"/>
  <c r="M41" i="4"/>
  <c r="L41" i="4"/>
  <c r="I28" i="4"/>
  <c r="H28" i="4"/>
  <c r="G28" i="4"/>
  <c r="J21" i="4"/>
  <c r="G15" i="4"/>
  <c r="J8" i="4"/>
  <c r="K41" i="4"/>
  <c r="K28" i="4"/>
  <c r="D7" i="12"/>
  <c r="H41" i="3"/>
  <c r="K67" i="4"/>
  <c r="O65" i="4"/>
  <c r="O66" i="4"/>
  <c r="O61" i="4"/>
  <c r="O62" i="4"/>
  <c r="M67" i="4"/>
  <c r="O63" i="4"/>
  <c r="J54" i="4"/>
  <c r="J67" i="4"/>
  <c r="J41" i="4"/>
  <c r="M54" i="4"/>
  <c r="J28" i="4"/>
  <c r="O59" i="4"/>
  <c r="F8" i="3"/>
  <c r="D34" i="3"/>
  <c r="D8" i="12"/>
  <c r="O67" i="4"/>
  <c r="P67" i="4"/>
  <c r="F46" i="10"/>
  <c r="F47" i="10"/>
  <c r="F48" i="10"/>
  <c r="F49" i="10"/>
  <c r="F50" i="10"/>
  <c r="F51" i="10"/>
  <c r="F51" i="9"/>
  <c r="F50" i="9"/>
  <c r="F49" i="9"/>
  <c r="F48" i="9"/>
  <c r="F47" i="9"/>
  <c r="F46" i="9"/>
  <c r="E7" i="3"/>
  <c r="E7" i="12"/>
  <c r="B18" i="3"/>
  <c r="B19" i="3"/>
  <c r="B20" i="3"/>
  <c r="B21" i="3"/>
  <c r="B22" i="3"/>
  <c r="B17" i="3"/>
  <c r="F51" i="8"/>
  <c r="F50" i="8"/>
  <c r="F49" i="8"/>
  <c r="F48" i="8"/>
  <c r="F47" i="8"/>
  <c r="F46" i="8"/>
  <c r="A18" i="11"/>
  <c r="A28" i="11"/>
  <c r="A38" i="11"/>
  <c r="A48" i="11"/>
  <c r="D21" i="11"/>
  <c r="D31" i="11"/>
  <c r="D20" i="11"/>
  <c r="D30" i="11"/>
  <c r="D19" i="11"/>
  <c r="D29" i="11"/>
  <c r="D18" i="11"/>
  <c r="D28" i="11"/>
  <c r="D17" i="11"/>
  <c r="D27" i="11"/>
  <c r="A21" i="11"/>
  <c r="A31" i="11"/>
  <c r="A41" i="11"/>
  <c r="A51" i="11"/>
  <c r="A20" i="11"/>
  <c r="A30" i="11"/>
  <c r="A40" i="11"/>
  <c r="A50" i="11"/>
  <c r="A19" i="11"/>
  <c r="A29" i="11"/>
  <c r="A39" i="11"/>
  <c r="A49" i="11"/>
  <c r="A17" i="11"/>
  <c r="A27" i="11"/>
  <c r="A37" i="11"/>
  <c r="A47" i="11"/>
  <c r="G46" i="11"/>
  <c r="I8" i="5"/>
  <c r="I9" i="5"/>
  <c r="I10" i="5"/>
  <c r="I11" i="5"/>
  <c r="I13" i="5"/>
  <c r="I14" i="5"/>
  <c r="I15" i="5"/>
  <c r="I7" i="5"/>
  <c r="D74" i="5"/>
  <c r="D56" i="5"/>
  <c r="D38" i="5"/>
  <c r="D20" i="5"/>
  <c r="P13" i="6"/>
  <c r="J14" i="6"/>
  <c r="D6" i="6"/>
  <c r="D7" i="6"/>
  <c r="E7" i="6"/>
  <c r="D8" i="6"/>
  <c r="E8" i="6"/>
  <c r="D9" i="6"/>
  <c r="E9" i="6"/>
  <c r="D10" i="6"/>
  <c r="E10" i="6"/>
  <c r="D11" i="6"/>
  <c r="D12" i="6"/>
  <c r="E12" i="6"/>
  <c r="D13" i="6"/>
  <c r="E11" i="6"/>
  <c r="E13" i="6"/>
  <c r="C14" i="6"/>
  <c r="J15" i="4"/>
  <c r="L15" i="4"/>
  <c r="F67" i="4"/>
  <c r="E67" i="4"/>
  <c r="D67" i="4"/>
  <c r="C67" i="4"/>
  <c r="F54" i="4"/>
  <c r="E54" i="4"/>
  <c r="D54" i="4"/>
  <c r="C54" i="4"/>
  <c r="F41" i="4"/>
  <c r="E41" i="4"/>
  <c r="D41" i="4"/>
  <c r="C41" i="4"/>
  <c r="F28" i="4"/>
  <c r="E28" i="4"/>
  <c r="D28" i="4"/>
  <c r="C28" i="4"/>
  <c r="H15" i="4"/>
  <c r="D15" i="4"/>
  <c r="C15" i="4"/>
  <c r="I15" i="4"/>
  <c r="F15" i="4"/>
  <c r="E15" i="4"/>
  <c r="K15" i="4"/>
  <c r="F34" i="3"/>
  <c r="F8" i="12"/>
  <c r="E34" i="3"/>
  <c r="E8" i="12"/>
  <c r="K15" i="6"/>
  <c r="E6" i="6"/>
  <c r="E14" i="6"/>
  <c r="D14" i="6"/>
  <c r="P10" i="6"/>
  <c r="P8" i="6"/>
  <c r="F52" i="10"/>
  <c r="G52" i="10"/>
  <c r="P11" i="6"/>
  <c r="P12" i="6"/>
  <c r="I29" i="5"/>
  <c r="F52" i="8"/>
  <c r="G52" i="8"/>
  <c r="F52" i="9"/>
  <c r="I28" i="5"/>
  <c r="I36" i="5"/>
  <c r="F7" i="3"/>
  <c r="F7" i="12"/>
  <c r="O14" i="6"/>
  <c r="J17" i="6"/>
  <c r="C50" i="11"/>
  <c r="F50" i="11"/>
  <c r="G50" i="11"/>
  <c r="C48" i="11"/>
  <c r="F48" i="11"/>
  <c r="G48" i="11"/>
  <c r="F32" i="11"/>
  <c r="I32" i="5"/>
  <c r="I31" i="5"/>
  <c r="I51" i="5"/>
  <c r="F87" i="5"/>
  <c r="K87" i="5"/>
  <c r="N87" i="5"/>
  <c r="O87" i="5"/>
  <c r="I33" i="5"/>
  <c r="I25" i="5"/>
  <c r="I47" i="5"/>
  <c r="F83" i="5"/>
  <c r="K83" i="5"/>
  <c r="N83" i="5"/>
  <c r="O83" i="5"/>
  <c r="I46" i="5"/>
  <c r="F82" i="5"/>
  <c r="K82" i="5"/>
  <c r="N82" i="5"/>
  <c r="O82" i="5"/>
  <c r="I27" i="5"/>
  <c r="I43" i="5"/>
  <c r="I44" i="5"/>
  <c r="I49" i="5"/>
  <c r="I54" i="5"/>
  <c r="I50" i="5"/>
  <c r="F86" i="5"/>
  <c r="K86" i="5"/>
  <c r="I26" i="5"/>
  <c r="M15" i="4"/>
  <c r="P21" i="3"/>
  <c r="P19" i="3"/>
  <c r="P22" i="3"/>
  <c r="P20" i="3"/>
  <c r="C51" i="11"/>
  <c r="F51" i="11"/>
  <c r="J13" i="3"/>
  <c r="H15" i="3"/>
  <c r="J15" i="3"/>
  <c r="H12" i="3"/>
  <c r="F81" i="5"/>
  <c r="K81" i="5"/>
  <c r="N81" i="5"/>
  <c r="O81" i="5"/>
  <c r="I63" i="5"/>
  <c r="F85" i="5"/>
  <c r="K85" i="5"/>
  <c r="N85" i="5"/>
  <c r="O85" i="5"/>
  <c r="I67" i="5"/>
  <c r="F90" i="5"/>
  <c r="K90" i="5"/>
  <c r="N90" i="5"/>
  <c r="O90" i="5"/>
  <c r="I72" i="5"/>
  <c r="F89" i="5"/>
  <c r="K89" i="5"/>
  <c r="N89" i="5"/>
  <c r="O89" i="5"/>
  <c r="F88" i="5"/>
  <c r="I88" i="5"/>
  <c r="K88" i="5"/>
  <c r="N88" i="5"/>
  <c r="O88" i="5"/>
  <c r="F80" i="5"/>
  <c r="K80" i="5"/>
  <c r="N80" i="5"/>
  <c r="O80" i="5"/>
  <c r="I62" i="5"/>
  <c r="F79" i="5"/>
  <c r="K79" i="5"/>
  <c r="N79" i="5"/>
  <c r="I61" i="5"/>
  <c r="E15" i="6"/>
  <c r="K16" i="6"/>
  <c r="P9" i="6"/>
  <c r="P7" i="6"/>
  <c r="P6" i="6"/>
  <c r="N86" i="5"/>
  <c r="C47" i="11"/>
  <c r="F47" i="11"/>
  <c r="I45" i="5"/>
  <c r="H13" i="3"/>
  <c r="J17" i="3"/>
  <c r="P18" i="3"/>
  <c r="G47" i="11"/>
  <c r="J21" i="3"/>
  <c r="C49" i="11"/>
  <c r="F49" i="11"/>
  <c r="F22" i="11"/>
  <c r="J19" i="3"/>
  <c r="F12" i="11"/>
  <c r="G51" i="11"/>
  <c r="H21" i="3"/>
  <c r="J12" i="3"/>
  <c r="J14" i="3"/>
  <c r="J22" i="3"/>
  <c r="H43" i="3"/>
  <c r="H18" i="3"/>
  <c r="J18" i="3"/>
  <c r="J11" i="3"/>
  <c r="L38" i="5"/>
  <c r="L56" i="5"/>
  <c r="N21" i="5"/>
  <c r="O21" i="5"/>
  <c r="K91" i="5"/>
  <c r="K92" i="5"/>
  <c r="L92" i="5"/>
  <c r="F52" i="11"/>
  <c r="P14" i="6"/>
  <c r="P15" i="6"/>
  <c r="N91" i="5"/>
  <c r="N92" i="5"/>
  <c r="O86" i="5"/>
  <c r="O91" i="5"/>
  <c r="O79" i="5"/>
  <c r="H11" i="3"/>
  <c r="H17" i="3"/>
  <c r="H14" i="3"/>
  <c r="H22" i="3"/>
  <c r="H19" i="3"/>
  <c r="G49" i="11"/>
  <c r="G52" i="11"/>
  <c r="J20" i="3"/>
  <c r="F42" i="11"/>
  <c r="H42" i="3"/>
  <c r="P17" i="3"/>
  <c r="P23" i="3"/>
  <c r="H44" i="3"/>
  <c r="N93" i="5"/>
  <c r="O92" i="5"/>
  <c r="P92" i="5"/>
  <c r="K18" i="6"/>
  <c r="O15" i="6"/>
  <c r="H20" i="3"/>
  <c r="D47" i="3"/>
  <c r="D48" i="3"/>
  <c r="H45" i="3"/>
  <c r="O93" i="5"/>
  <c r="H10" i="3"/>
  <c r="F10" i="12"/>
  <c r="F12" i="12"/>
  <c r="J27" i="3"/>
  <c r="J10" i="3"/>
  <c r="K27" i="3"/>
  <c r="E47" i="3"/>
  <c r="E48" i="3"/>
  <c r="H27" i="3"/>
  <c r="F47" i="3"/>
  <c r="F48" i="3"/>
  <c r="H26" i="3"/>
  <c r="D10" i="12"/>
  <c r="D12" i="12"/>
  <c r="H10" i="12"/>
  <c r="H12" i="12"/>
  <c r="K23" i="3"/>
  <c r="H23" i="3"/>
  <c r="G10" i="12"/>
  <c r="G12" i="12"/>
  <c r="H47" i="3"/>
  <c r="H48" i="3"/>
  <c r="G47" i="3"/>
  <c r="G48" i="3"/>
  <c r="K28" i="3"/>
  <c r="K31" i="3"/>
  <c r="K33" i="3"/>
  <c r="E10" i="12"/>
  <c r="E12" i="12"/>
  <c r="I10" i="12"/>
  <c r="I12" i="12"/>
  <c r="K24" i="3"/>
  <c r="J31" i="3"/>
</calcChain>
</file>

<file path=xl/sharedStrings.xml><?xml version="1.0" encoding="utf-8"?>
<sst xmlns="http://schemas.openxmlformats.org/spreadsheetml/2006/main" count="928" uniqueCount="286">
  <si>
    <t>%</t>
    <phoneticPr fontId="1" type="noConversion"/>
  </si>
  <si>
    <t>or</t>
    <phoneticPr fontId="1" type="noConversion"/>
  </si>
  <si>
    <t>Amount</t>
    <phoneticPr fontId="1" type="noConversion"/>
  </si>
  <si>
    <t>Indirect (F&amp;A) Costs</t>
    <phoneticPr fontId="1" type="noConversion"/>
  </si>
  <si>
    <t>Summer</t>
  </si>
  <si>
    <t>TOTAL</t>
  </si>
  <si>
    <t>     </t>
  </si>
  <si>
    <t>Rates:</t>
  </si>
  <si>
    <t># of Travelers</t>
  </si>
  <si>
    <t>Destination</t>
  </si>
  <si>
    <t>Airfare</t>
  </si>
  <si>
    <t>Miles</t>
  </si>
  <si>
    <t>Mileage</t>
  </si>
  <si>
    <t># Days</t>
  </si>
  <si>
    <t># Trips</t>
  </si>
  <si>
    <t>In-State</t>
  </si>
  <si>
    <t>Out-of-State</t>
  </si>
  <si>
    <t>AY</t>
  </si>
  <si>
    <t>CY</t>
  </si>
  <si>
    <t>PI</t>
  </si>
  <si>
    <t>Emp Cat</t>
  </si>
  <si>
    <t>Appt</t>
  </si>
  <si>
    <t>Name #2</t>
  </si>
  <si>
    <t>Salary</t>
  </si>
  <si>
    <t>HR</t>
  </si>
  <si>
    <t>Budgeted</t>
  </si>
  <si>
    <t>Materials &amp; Supplies #6</t>
  </si>
  <si>
    <r>
      <t>MTD</t>
    </r>
    <r>
      <rPr>
        <u/>
        <sz val="10"/>
        <color theme="3"/>
        <rFont val="Calibri"/>
        <family val="2"/>
        <scheme val="minor"/>
      </rPr>
      <t>C</t>
    </r>
  </si>
  <si>
    <t>EQUIPMENT - ESTIMATE</t>
  </si>
  <si>
    <t>Equipment #1</t>
  </si>
  <si>
    <t>Equipment #2</t>
  </si>
  <si>
    <t>Instruction</t>
  </si>
  <si>
    <t>INST-On</t>
  </si>
  <si>
    <t>RSCH-Off</t>
  </si>
  <si>
    <t>Organized Research</t>
  </si>
  <si>
    <t>RSCH-On</t>
  </si>
  <si>
    <t>Rate</t>
  </si>
  <si>
    <t>F&amp;A Cat*</t>
  </si>
  <si>
    <t>Source</t>
  </si>
  <si>
    <t>On/Off</t>
  </si>
  <si>
    <t>Category</t>
  </si>
  <si>
    <t>University</t>
  </si>
  <si>
    <t>Fringe Benefits are calculated</t>
  </si>
  <si>
    <t>FB%</t>
  </si>
  <si>
    <t>Emp Cat*</t>
  </si>
  <si>
    <t>Time Base</t>
  </si>
  <si>
    <t>Entity</t>
  </si>
  <si>
    <t xml:space="preserve">FRINGE BENEFIT RATES </t>
  </si>
  <si>
    <t>(Exhibit B)</t>
    <phoneticPr fontId="1" type="noConversion"/>
  </si>
  <si>
    <t>Subject to     IDC Calc</t>
    <phoneticPr fontId="1" type="noConversion"/>
  </si>
  <si>
    <t>N</t>
    <phoneticPr fontId="1" type="noConversion"/>
  </si>
  <si>
    <t>#</t>
    <phoneticPr fontId="1" type="noConversion"/>
  </si>
  <si>
    <t>enter data</t>
    <phoneticPr fontId="1" type="noConversion"/>
  </si>
  <si>
    <t xml:space="preserve">Escalation    </t>
    <phoneticPr fontId="1" type="noConversion"/>
  </si>
  <si>
    <t>Exempt from F&amp;A</t>
    <phoneticPr fontId="1" type="noConversion"/>
  </si>
  <si>
    <t>Indirect (F&amp;A) Costs</t>
    <phoneticPr fontId="1" type="noConversion"/>
  </si>
  <si>
    <t>F&amp;A Base</t>
    <phoneticPr fontId="1" type="noConversion"/>
  </si>
  <si>
    <t>TOTAL ESTIMATED COSTS PER YEAR</t>
    <phoneticPr fontId="1" type="noConversion"/>
  </si>
  <si>
    <t>to</t>
    <phoneticPr fontId="1" type="noConversion"/>
  </si>
  <si>
    <t>Equipment #5</t>
  </si>
  <si>
    <t>Equipment #6</t>
  </si>
  <si>
    <t>Consultant #1</t>
  </si>
  <si>
    <t>Consultant #2</t>
  </si>
  <si>
    <t>Consultant #3</t>
  </si>
  <si>
    <t>Consultant #4</t>
  </si>
  <si>
    <t>Consultant #5</t>
  </si>
  <si>
    <t>Consultant #6</t>
  </si>
  <si>
    <t>day</t>
  </si>
  <si>
    <t>Items exempt from F&amp;A calculation</t>
  </si>
  <si>
    <t>Exhibit B</t>
  </si>
  <si>
    <t>CONSULTANTS - ESTIMATE</t>
  </si>
  <si>
    <t>OTHER DIRECT COSTS - ESTIMATE</t>
  </si>
  <si>
    <t>ODC #4</t>
  </si>
  <si>
    <t>ODC #5</t>
  </si>
  <si>
    <t>ODC #6</t>
  </si>
  <si>
    <t>Y</t>
  </si>
  <si>
    <t>Escalation</t>
  </si>
  <si>
    <t>TOTALS</t>
    <phoneticPr fontId="1" type="noConversion"/>
  </si>
  <si>
    <t>TOTAL ESTIMATED COSTS FOR PROPOSED PROJECT PERIOD</t>
    <phoneticPr fontId="1" type="noConversion"/>
  </si>
  <si>
    <t>Faculty Summer/Add'l Emp</t>
  </si>
  <si>
    <t>Staff - Full Time</t>
  </si>
  <si>
    <t>Equipment &gt; $5K</t>
    <phoneticPr fontId="1" type="noConversion"/>
  </si>
  <si>
    <t>Subrecipient #5</t>
  </si>
  <si>
    <t>Subrecipient #6</t>
  </si>
  <si>
    <t>Subrecipient #7</t>
  </si>
  <si>
    <t>Subrecipient #8</t>
  </si>
  <si>
    <t>Requested</t>
  </si>
  <si>
    <t>Fraction</t>
  </si>
  <si>
    <t>AY=Academic Year</t>
  </si>
  <si>
    <t>Year 1</t>
  </si>
  <si>
    <t>Subrecipient Name</t>
  </si>
  <si>
    <t>PI Name</t>
  </si>
  <si>
    <t>Estimate</t>
  </si>
  <si>
    <t>1st $25K</t>
  </si>
  <si>
    <t>No F&amp;A</t>
  </si>
  <si>
    <t>Year 2</t>
  </si>
  <si>
    <t>Year 3</t>
  </si>
  <si>
    <t>Year 4</t>
  </si>
  <si>
    <t>Year 5</t>
  </si>
  <si>
    <t>Subject to F&amp;A</t>
  </si>
  <si>
    <t>Subrecipient</t>
  </si>
  <si>
    <t>Total Budget</t>
  </si>
  <si>
    <t xml:space="preserve">F&amp;A on </t>
  </si>
  <si>
    <t xml:space="preserve"> &gt; $25K</t>
  </si>
  <si>
    <t>Description</t>
  </si>
  <si>
    <t>Amount</t>
  </si>
  <si>
    <t xml:space="preserve"> /unit</t>
  </si>
  <si>
    <t># of units</t>
  </si>
  <si>
    <t>Total Amt</t>
  </si>
  <si>
    <t xml:space="preserve">Estimated Travel Expense </t>
  </si>
  <si>
    <t>YEAR 2</t>
  </si>
  <si>
    <t>YEAR 3</t>
  </si>
  <si>
    <t>YEAR 4</t>
  </si>
  <si>
    <t>YEAR 5</t>
  </si>
  <si>
    <t>ESTIMATED SALARIES &amp; FRINGE BENEFITS</t>
  </si>
  <si>
    <t>Annual Escalation Factor:</t>
  </si>
  <si>
    <t>Annual</t>
  </si>
  <si>
    <t>Base Salary</t>
  </si>
  <si>
    <t>Name #1 (PI)</t>
  </si>
  <si>
    <t>Additional Personnel</t>
  </si>
  <si>
    <t>Name #8</t>
  </si>
  <si>
    <t>Title #8</t>
  </si>
  <si>
    <t>Total Additional Personnel</t>
  </si>
  <si>
    <t>Total Salaries &amp; Benefits</t>
  </si>
  <si>
    <t>(Exhibit B)</t>
  </si>
  <si>
    <t>TOTAL DIRECT COSTS</t>
  </si>
  <si>
    <t>Subrecipients - Proposed Budget Estimates</t>
  </si>
  <si>
    <t>Total Amount</t>
  </si>
  <si>
    <t>tab to return correct rate</t>
  </si>
  <si>
    <r>
      <t xml:space="preserve">PERSONNEL:  </t>
    </r>
    <r>
      <rPr>
        <i/>
        <sz val="10"/>
        <rFont val="Calibri"/>
        <family val="2"/>
      </rPr>
      <t>Salary and fringe benefits.</t>
    </r>
    <phoneticPr fontId="1" type="noConversion"/>
  </si>
  <si>
    <t>OTHER DIRECT COSTS (ODC)</t>
    <phoneticPr fontId="1" type="noConversion"/>
  </si>
  <si>
    <t>From:</t>
    <phoneticPr fontId="1" type="noConversion"/>
  </si>
  <si>
    <t>To:</t>
    <phoneticPr fontId="1" type="noConversion"/>
  </si>
  <si>
    <t>Funds Reversion Dates</t>
    <phoneticPr fontId="1" type="noConversion"/>
  </si>
  <si>
    <t>MATERIALS &amp; SUPPLIES - ESTIMATE</t>
  </si>
  <si>
    <t>Materials &amp; Supplies #3</t>
  </si>
  <si>
    <t>Materials &amp; Supplies #4</t>
  </si>
  <si>
    <t>Materials &amp; Supplies #5</t>
  </si>
  <si>
    <t>Title #2</t>
  </si>
  <si>
    <t>Name #3</t>
  </si>
  <si>
    <t>Title #3</t>
  </si>
  <si>
    <t>Name #4</t>
  </si>
  <si>
    <t>Title #4</t>
  </si>
  <si>
    <t>Name #5</t>
  </si>
  <si>
    <t>Title #5</t>
  </si>
  <si>
    <t>Name #6</t>
  </si>
  <si>
    <t>Title #6</t>
  </si>
  <si>
    <t>Name #7</t>
  </si>
  <si>
    <t>Title #7</t>
  </si>
  <si>
    <t>Undergrad Student Asst</t>
  </si>
  <si>
    <t>SA</t>
  </si>
  <si>
    <t>Grad Student Asst</t>
  </si>
  <si>
    <t>GSA</t>
  </si>
  <si>
    <t>All subs over $25K</t>
  </si>
  <si>
    <t>Other Exempt Costs</t>
  </si>
  <si>
    <t>Total Exempt from F&amp;A</t>
  </si>
  <si>
    <t>CY=Calendar Year</t>
  </si>
  <si>
    <t>Title/Role</t>
  </si>
  <si>
    <t>Post Docs</t>
  </si>
  <si>
    <t>MTDC</t>
  </si>
  <si>
    <t>Post Doc</t>
  </si>
  <si>
    <t>TTF</t>
  </si>
  <si>
    <t>Lect</t>
  </si>
  <si>
    <t>PT</t>
  </si>
  <si>
    <t>Off</t>
  </si>
  <si>
    <t>On</t>
  </si>
  <si>
    <t>OSA-Off</t>
  </si>
  <si>
    <t>Other Sponsored Activity</t>
  </si>
  <si>
    <t>OSA-On</t>
  </si>
  <si>
    <t>INST-Off</t>
  </si>
  <si>
    <t>(from Budget Info &amp; Rates)</t>
  </si>
  <si>
    <t>*Enter appropriate "F&amp;A Cat" abbreviation on Budget "Exhibit B"</t>
  </si>
  <si>
    <t>Sum</t>
  </si>
  <si>
    <t>*Enter appropriate "Emp Cat" abbreviation on "Personnel"</t>
  </si>
  <si>
    <t>FTS</t>
  </si>
  <si>
    <t>YEAR 1</t>
  </si>
  <si>
    <t>Who?</t>
  </si>
  <si>
    <t>enter data</t>
  </si>
  <si>
    <t>FB Amt</t>
  </si>
  <si>
    <t>Total Sal+FB</t>
  </si>
  <si>
    <t>EQUIPMENT</t>
  </si>
  <si>
    <t>TRAVEL</t>
  </si>
  <si>
    <t>MATERIALS &amp; SUPPLIES</t>
  </si>
  <si>
    <t>Tenured/Tenure Track Faculty</t>
  </si>
  <si>
    <t>Lecturers</t>
  </si>
  <si>
    <t>Part Time Student/Other</t>
  </si>
  <si>
    <t>BUDGET CATEGORY</t>
    <phoneticPr fontId="1" type="noConversion"/>
  </si>
  <si>
    <t>Year 1</t>
    <phoneticPr fontId="1" type="noConversion"/>
  </si>
  <si>
    <t>Year 2</t>
    <phoneticPr fontId="1" type="noConversion"/>
  </si>
  <si>
    <t>Year 3</t>
    <phoneticPr fontId="1" type="noConversion"/>
  </si>
  <si>
    <t>Equipment #3</t>
  </si>
  <si>
    <t>Equipment #4</t>
  </si>
  <si>
    <t>Prior approval required for budget changes between approved cost categories above the thresholds identified.</t>
  </si>
  <si>
    <t>COMPOSITE BUDGET:  ESTIMATE FOR ENTIRE PROPOSED PROJECT PERIOD</t>
  </si>
  <si>
    <t>Other Exempt</t>
  </si>
  <si>
    <t>Yr1</t>
  </si>
  <si>
    <t>Yr2</t>
  </si>
  <si>
    <t>Yr3</t>
  </si>
  <si>
    <t>Yr4</t>
  </si>
  <si>
    <t>Sum=Summer Sal</t>
  </si>
  <si>
    <t>HR=Hourly</t>
  </si>
  <si>
    <t>Adj Base Rate</t>
  </si>
  <si>
    <t>Sal/Hrly</t>
  </si>
  <si>
    <t xml:space="preserve">Effort: </t>
  </si>
  <si>
    <t>% / Hrs</t>
  </si>
  <si>
    <r>
      <rPr>
        <sz val="8"/>
        <rFont val="Calibri"/>
        <family val="2"/>
        <scheme val="minor"/>
      </rPr>
      <t xml:space="preserve">Per </t>
    </r>
    <r>
      <rPr>
        <u/>
        <sz val="8"/>
        <rFont val="Calibri"/>
        <family val="2"/>
        <scheme val="minor"/>
      </rPr>
      <t>Person**</t>
    </r>
  </si>
  <si>
    <t>Other*</t>
  </si>
  <si>
    <t>Key Personnel</t>
  </si>
  <si>
    <t>PI &amp; Co-PI</t>
  </si>
  <si>
    <t>Enter Annual Budget Estimates from Sub Budgets</t>
  </si>
  <si>
    <t>hour</t>
  </si>
  <si>
    <t>ODC #3</t>
  </si>
  <si>
    <t>Lodging</t>
  </si>
  <si>
    <t>Meals</t>
  </si>
  <si>
    <t>*est daily, per person cost for car rental, train, parking, bus fare, other travel exp, explain in budget narrative</t>
  </si>
  <si>
    <t>Subrecipient #1</t>
  </si>
  <si>
    <t>Subrecipient #2</t>
  </si>
  <si>
    <t>Subrecipient #3</t>
  </si>
  <si>
    <t>Subrecipient #4</t>
  </si>
  <si>
    <t>Sub PI Name #1</t>
  </si>
  <si>
    <t>Sub PI Name #2</t>
  </si>
  <si>
    <t>Sub PI Name #3</t>
  </si>
  <si>
    <t>Sub PI Name #4</t>
  </si>
  <si>
    <t>Sub PI Name #5</t>
  </si>
  <si>
    <t>Sub PI Name #6</t>
  </si>
  <si>
    <t>Sub PI Name #7</t>
  </si>
  <si>
    <t>Sub PI Name #8</t>
  </si>
  <si>
    <t>TOTAL ESTIMATED PROJECT COSTS PER YEAR</t>
  </si>
  <si>
    <t>ANTICIPATED PROGRAM INCOME</t>
  </si>
  <si>
    <t>Page 2</t>
  </si>
  <si>
    <t>Program Income is subject to Section 14.F of Exhibit C of this Agreement.</t>
  </si>
  <si>
    <t xml:space="preserve">Page 2 of Exhibit B will only be incorporated in the Agreement when Program Income is anticipated and proposed.  </t>
  </si>
  <si>
    <t>If known, provide source(s) of program income:</t>
  </si>
  <si>
    <t xml:space="preserve">Anticipated Program Income is an estimate of income that may be generated to support the total project costs, and this fact is known by the University at time of proposal.  Anticipated Program Income does not represent a cost-share commitment by the University or external funders to support the project.  </t>
  </si>
  <si>
    <t>** If travel allowance will not cover entire travel expense, enter allowance here and basis for allowance in budget justification</t>
  </si>
  <si>
    <t>Tuition Remission Benefit</t>
  </si>
  <si>
    <t>ODC #1</t>
  </si>
  <si>
    <r>
      <t>JUSTIFICATION.</t>
    </r>
    <r>
      <rPr>
        <sz val="10"/>
        <rFont val="Calibri"/>
        <family val="2"/>
      </rPr>
      <t xml:space="preserve">  See Exhibit B1 - Follow the budget justification instructions.</t>
    </r>
  </si>
  <si>
    <t>Tuition Remission</t>
  </si>
  <si>
    <t>Benefit (if app)</t>
  </si>
  <si>
    <t>CONSULTANT</t>
  </si>
  <si>
    <t>SUBRECIPIENT</t>
  </si>
  <si>
    <t>Fringe Ben%</t>
  </si>
  <si>
    <t>Materials &amp; Supplies #1</t>
  </si>
  <si>
    <t>Materials &amp; Supplies #2</t>
  </si>
  <si>
    <r>
      <t>(NOT included in agreement, enter details on Exhibit B</t>
    </r>
    <r>
      <rPr>
        <i/>
        <sz val="9"/>
        <rFont val="Calibri"/>
        <family val="2"/>
      </rPr>
      <t>1, Budget</t>
    </r>
    <r>
      <rPr>
        <i/>
        <sz val="9"/>
        <rFont val="Calibri"/>
        <family val="2"/>
        <scheme val="minor"/>
      </rPr>
      <t xml:space="preserve"> Justification)</t>
    </r>
  </si>
  <si>
    <r>
      <t>(NOT included in agreement, enter TOTALS from Exhibit(s) B2 - and details on Exhibit B</t>
    </r>
    <r>
      <rPr>
        <i/>
        <sz val="9"/>
        <rFont val="Calibri"/>
        <family val="2"/>
      </rPr>
      <t>1, Budget</t>
    </r>
    <r>
      <rPr>
        <i/>
        <sz val="9"/>
        <rFont val="Calibri"/>
        <family val="2"/>
        <scheme val="minor"/>
      </rPr>
      <t xml:space="preserve"> Justification)</t>
    </r>
  </si>
  <si>
    <r>
      <t xml:space="preserve">Program Income
</t>
    </r>
    <r>
      <rPr>
        <b/>
        <sz val="11"/>
        <color rgb="FFC00000"/>
        <rFont val="Calibri"/>
        <family val="2"/>
        <scheme val="minor"/>
      </rPr>
      <t>(applicable only when the funded portion of the project generates income)</t>
    </r>
  </si>
  <si>
    <r>
      <t xml:space="preserve">TOTAL CONTRACT AMOUNT 
</t>
    </r>
    <r>
      <rPr>
        <b/>
        <sz val="8"/>
        <rFont val="Calibri"/>
        <family val="2"/>
        <scheme val="minor"/>
      </rPr>
      <t>(Est Proj Costs less Anticipated Prog Inc)</t>
    </r>
  </si>
  <si>
    <t>Estimated Amount</t>
  </si>
  <si>
    <t>Principal Investigator (Last, First):</t>
  </si>
  <si>
    <t>Tuition</t>
  </si>
  <si>
    <t>Graduate Student Assistant</t>
  </si>
  <si>
    <t>Undergraduate Student Assistant</t>
  </si>
  <si>
    <t>Student Cat</t>
  </si>
  <si>
    <t>PI, Joe</t>
  </si>
  <si>
    <t>Co-PI</t>
  </si>
  <si>
    <t>Technician</t>
  </si>
  <si>
    <t>Jane Co-PI</t>
  </si>
  <si>
    <t>Joe Tech</t>
  </si>
  <si>
    <t>TR?</t>
  </si>
  <si>
    <t>N</t>
  </si>
  <si>
    <t>Part Time/Benefited</t>
  </si>
  <si>
    <t>PTB</t>
  </si>
  <si>
    <t>Enter appropriate fringe benefit rate for each applicable employee category (insert additional categories above "Staff - Full Time" to be included in the lookup for the Personnel tab</t>
  </si>
  <si>
    <t xml:space="preserve">CSU/UC last proposed IDC/F&amp;A rate of 25% beginning with execution of AB20 model agreement and increasing 5% per FY for 3 FYs for on-campus projects (using campus facilities)- up to a total of 40%.  </t>
  </si>
  <si>
    <t>STATE IDC (F&amp;A) RATES</t>
  </si>
  <si>
    <t>*Enter appropriate "Student Cat" abbreviation on "Personnel"</t>
  </si>
  <si>
    <t>tab - and indiciate "Y" in column B under "TR?"</t>
  </si>
  <si>
    <t>25% will be effective on 1/1/2016 with implementation of the model agreement (UTC-116), first increase for on-campus projects will be +5% effective 7/1/2017 and increase 5% each FY for 2 more years.
The rate proposed and in effect at time of award will remain in effect for the life of the project.  Similar to implementation of the AB20 model agreement, if a contract is amended to add time and money, it will be treated as a "new" agreement, and an increased IDC rate may be appropriate.</t>
  </si>
  <si>
    <t>Univ BAFO to State in 2012</t>
  </si>
  <si>
    <t>Total Key:</t>
  </si>
  <si>
    <t>Total Additional:</t>
  </si>
  <si>
    <t>Faculty/Student Participants</t>
  </si>
  <si>
    <t>Consultants/Speakers</t>
  </si>
  <si>
    <t>each</t>
  </si>
  <si>
    <t>pkg</t>
  </si>
  <si>
    <t>case</t>
  </si>
  <si>
    <t>server</t>
  </si>
  <si>
    <t>task</t>
  </si>
  <si>
    <t>Scholarship</t>
  </si>
  <si>
    <t>student</t>
  </si>
  <si>
    <t>Server Maintenance</t>
  </si>
  <si>
    <t>year</t>
  </si>
  <si>
    <t>av FB%</t>
  </si>
  <si>
    <t>Project Period Budget Flexibility (lesser of % of annual budget or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</si>
</sst>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8" formatCode="&quot;$&quot;#,##0.00_);[Red]\(&quot;$&quot;#,##0.00\)"/>
    <numFmt numFmtId="43" formatCode="_(* #,##0.00_);_(* \(#,##0.00\);_(* &quot;-&quot;??_);_(@_)"/>
    <numFmt numFmtId="164" formatCode="&quot;$&quot;#,##0.00"/>
    <numFmt numFmtId="165" formatCode="&quot;$&quot;#,##0"/>
    <numFmt numFmtId="166" formatCode="_(* #,##0_);_(* \(#,##0\);_(* &quot;-&quot;??_);_(@_)"/>
    <numFmt numFmtId="167" formatCode="0.0"/>
    <numFmt numFmtId="168" formatCode="&quot;$&quot;#,##0.000"/>
    <numFmt numFmtId="169" formatCode="mm/dd/yyyy"/>
    <numFmt numFmtId="170" formatCode="_(* #,##0.000_);_(* \(#,##0.000\);_(* &quot;-&quot;??_);_(@_)"/>
  </numFmts>
  <fonts count="94" x14ac:knownFonts="1">
    <font>
      <sz val="10"/>
      <name val="Verdana"/>
    </font>
    <font>
      <sz val="8"/>
      <name val="Verdana"/>
      <family val="2"/>
    </font>
    <font>
      <sz val="10"/>
      <name val="Arial"/>
      <family val="2"/>
    </font>
    <font>
      <sz val="10"/>
      <name val="Verdana"/>
      <family val="2"/>
    </font>
    <font>
      <sz val="10"/>
      <name val="Calibri"/>
      <family val="2"/>
      <scheme val="minor"/>
    </font>
    <font>
      <b/>
      <i/>
      <sz val="8"/>
      <color indexed="62"/>
      <name val="Calibri"/>
      <family val="2"/>
      <scheme val="minor"/>
    </font>
    <font>
      <sz val="8"/>
      <color indexed="62"/>
      <name val="Calibri"/>
      <family val="2"/>
      <scheme val="minor"/>
    </font>
    <font>
      <b/>
      <sz val="10"/>
      <name val="Calibri"/>
      <family val="2"/>
      <scheme val="minor"/>
    </font>
    <font>
      <u/>
      <sz val="8"/>
      <name val="Calibri"/>
      <family val="2"/>
      <scheme val="minor"/>
    </font>
    <font>
      <u/>
      <sz val="10"/>
      <name val="Calibri"/>
      <family val="2"/>
      <scheme val="minor"/>
    </font>
    <font>
      <sz val="8"/>
      <name val="Calibri"/>
      <family val="2"/>
      <scheme val="minor"/>
    </font>
    <font>
      <b/>
      <i/>
      <sz val="10"/>
      <name val="Calibri"/>
      <family val="2"/>
      <scheme val="minor"/>
    </font>
    <font>
      <i/>
      <sz val="10"/>
      <name val="Calibri"/>
      <family val="2"/>
      <scheme val="minor"/>
    </font>
    <font>
      <i/>
      <u/>
      <sz val="8"/>
      <color indexed="10"/>
      <name val="Calibri"/>
      <family val="2"/>
      <scheme val="minor"/>
    </font>
    <font>
      <i/>
      <sz val="9"/>
      <name val="Calibri"/>
      <family val="2"/>
      <scheme val="minor"/>
    </font>
    <font>
      <b/>
      <u/>
      <sz val="10"/>
      <name val="Calibri"/>
      <family val="2"/>
      <scheme val="minor"/>
    </font>
    <font>
      <b/>
      <i/>
      <sz val="10"/>
      <color theme="5" tint="-0.249977111117893"/>
      <name val="Calibri"/>
      <family val="2"/>
      <scheme val="minor"/>
    </font>
    <font>
      <b/>
      <i/>
      <sz val="9"/>
      <color theme="5" tint="-0.249977111117893"/>
      <name val="Calibri"/>
      <family val="2"/>
      <scheme val="minor"/>
    </font>
    <font>
      <b/>
      <sz val="14"/>
      <name val="Calibri"/>
      <family val="2"/>
      <scheme val="minor"/>
    </font>
    <font>
      <sz val="9"/>
      <name val="Calibri"/>
      <family val="2"/>
      <scheme val="minor"/>
    </font>
    <font>
      <u/>
      <sz val="9"/>
      <name val="Calibri"/>
      <family val="2"/>
      <scheme val="minor"/>
    </font>
    <font>
      <b/>
      <u/>
      <sz val="10"/>
      <color theme="3"/>
      <name val="Calibri"/>
      <family val="2"/>
      <scheme val="minor"/>
    </font>
    <font>
      <sz val="10"/>
      <color theme="3"/>
      <name val="Calibri"/>
      <family val="2"/>
      <scheme val="minor"/>
    </font>
    <font>
      <b/>
      <sz val="9"/>
      <name val="Calibri"/>
      <family val="2"/>
      <scheme val="minor"/>
    </font>
    <font>
      <b/>
      <sz val="8"/>
      <name val="Calibri"/>
      <family val="2"/>
      <scheme val="minor"/>
    </font>
    <font>
      <b/>
      <i/>
      <sz val="10"/>
      <name val="Calibri"/>
      <family val="2"/>
    </font>
    <font>
      <b/>
      <i/>
      <sz val="9"/>
      <name val="Calibri"/>
      <family val="2"/>
    </font>
    <font>
      <b/>
      <i/>
      <sz val="8"/>
      <name val="Calibri"/>
      <family val="2"/>
    </font>
    <font>
      <b/>
      <i/>
      <sz val="9"/>
      <name val="Calibri"/>
      <family val="2"/>
      <scheme val="minor"/>
    </font>
    <font>
      <b/>
      <sz val="12"/>
      <color indexed="18"/>
      <name val="Calibri"/>
      <family val="2"/>
      <scheme val="minor"/>
    </font>
    <font>
      <b/>
      <i/>
      <sz val="8"/>
      <color indexed="22"/>
      <name val="Calibri"/>
      <family val="2"/>
      <scheme val="minor"/>
    </font>
    <font>
      <sz val="10"/>
      <color indexed="23"/>
      <name val="Calibri"/>
      <family val="2"/>
      <scheme val="minor"/>
    </font>
    <font>
      <b/>
      <u/>
      <sz val="10"/>
      <color indexed="23"/>
      <name val="Calibri"/>
      <family val="2"/>
      <scheme val="minor"/>
    </font>
    <font>
      <u/>
      <sz val="10"/>
      <color indexed="23"/>
      <name val="Calibri"/>
      <family val="2"/>
      <scheme val="minor"/>
    </font>
    <font>
      <sz val="10"/>
      <color indexed="55"/>
      <name val="Calibri"/>
      <family val="2"/>
      <scheme val="minor"/>
    </font>
    <font>
      <b/>
      <sz val="10"/>
      <color indexed="22"/>
      <name val="Calibri"/>
      <family val="2"/>
      <scheme val="minor"/>
    </font>
    <font>
      <b/>
      <i/>
      <sz val="9"/>
      <color indexed="22"/>
      <name val="Calibri"/>
      <family val="2"/>
      <scheme val="minor"/>
    </font>
    <font>
      <b/>
      <sz val="10"/>
      <color indexed="55"/>
      <name val="Calibri"/>
      <family val="2"/>
      <scheme val="minor"/>
    </font>
    <font>
      <u/>
      <sz val="10"/>
      <color theme="3"/>
      <name val="Calibri"/>
      <family val="2"/>
      <scheme val="minor"/>
    </font>
    <font>
      <i/>
      <sz val="10"/>
      <color indexed="23"/>
      <name val="Calibri"/>
      <family val="2"/>
    </font>
    <font>
      <b/>
      <sz val="9"/>
      <name val="Calibri"/>
      <family val="2"/>
    </font>
    <font>
      <sz val="10"/>
      <name val="Calibri"/>
      <family val="2"/>
    </font>
    <font>
      <b/>
      <sz val="10"/>
      <name val="Calibri"/>
      <family val="2"/>
    </font>
    <font>
      <sz val="10"/>
      <color indexed="55"/>
      <name val="Calibri"/>
      <family val="2"/>
    </font>
    <font>
      <b/>
      <u/>
      <sz val="10"/>
      <color indexed="55"/>
      <name val="Calibri"/>
      <family val="2"/>
    </font>
    <font>
      <b/>
      <sz val="10"/>
      <color indexed="16"/>
      <name val="Calibri"/>
      <family val="2"/>
    </font>
    <font>
      <i/>
      <sz val="10"/>
      <color indexed="55"/>
      <name val="Calibri"/>
      <family val="2"/>
    </font>
    <font>
      <sz val="9"/>
      <name val="Calibri"/>
      <family val="2"/>
    </font>
    <font>
      <i/>
      <sz val="10"/>
      <name val="Calibri"/>
      <family val="2"/>
    </font>
    <font>
      <i/>
      <sz val="9"/>
      <name val="Calibri"/>
      <family val="2"/>
    </font>
    <font>
      <b/>
      <i/>
      <sz val="10"/>
      <color indexed="23"/>
      <name val="Calibri"/>
      <family val="2"/>
    </font>
    <font>
      <b/>
      <i/>
      <sz val="9"/>
      <color indexed="62"/>
      <name val="Calibri"/>
      <family val="2"/>
    </font>
    <font>
      <b/>
      <i/>
      <u/>
      <sz val="10"/>
      <name val="Calibri"/>
      <family val="2"/>
    </font>
    <font>
      <i/>
      <sz val="9"/>
      <color indexed="54"/>
      <name val="Calibri"/>
      <family val="2"/>
    </font>
    <font>
      <i/>
      <sz val="10"/>
      <color indexed="54"/>
      <name val="Calibri"/>
      <family val="2"/>
    </font>
    <font>
      <b/>
      <u/>
      <sz val="9"/>
      <name val="Calibri"/>
      <family val="2"/>
    </font>
    <font>
      <sz val="10"/>
      <color indexed="22"/>
      <name val="Calibri"/>
      <family val="2"/>
    </font>
    <font>
      <u/>
      <sz val="10"/>
      <name val="Calibri"/>
      <family val="2"/>
    </font>
    <font>
      <b/>
      <u/>
      <sz val="10"/>
      <name val="Calibri"/>
      <family val="2"/>
    </font>
    <font>
      <b/>
      <u/>
      <sz val="8"/>
      <name val="Calibri"/>
      <family val="2"/>
    </font>
    <font>
      <b/>
      <u/>
      <sz val="10"/>
      <color indexed="56"/>
      <name val="Calibri"/>
      <family val="2"/>
    </font>
    <font>
      <b/>
      <i/>
      <u/>
      <sz val="8"/>
      <color indexed="10"/>
      <name val="Calibri"/>
      <family val="2"/>
    </font>
    <font>
      <b/>
      <sz val="11"/>
      <name val="Calibri"/>
      <family val="2"/>
    </font>
    <font>
      <b/>
      <sz val="12"/>
      <color indexed="16"/>
      <name val="Calibri"/>
      <family val="2"/>
    </font>
    <font>
      <b/>
      <i/>
      <sz val="9"/>
      <color indexed="61"/>
      <name val="Calibri"/>
      <family val="2"/>
    </font>
    <font>
      <i/>
      <sz val="9"/>
      <color indexed="61"/>
      <name val="Verdana"/>
      <family val="2"/>
    </font>
    <font>
      <i/>
      <sz val="8"/>
      <color indexed="62"/>
      <name val="Calibri"/>
      <family val="2"/>
    </font>
    <font>
      <sz val="10"/>
      <color theme="0" tint="-0.499984740745262"/>
      <name val="Calibri"/>
      <family val="2"/>
      <scheme val="minor"/>
    </font>
    <font>
      <sz val="9"/>
      <color theme="0" tint="-0.499984740745262"/>
      <name val="Calibri"/>
      <family val="2"/>
      <scheme val="minor"/>
    </font>
    <font>
      <i/>
      <sz val="10"/>
      <color theme="0" tint="-0.499984740745262"/>
      <name val="Calibri"/>
      <family val="2"/>
    </font>
    <font>
      <sz val="8"/>
      <name val="Calibri"/>
      <family val="2"/>
    </font>
    <font>
      <b/>
      <i/>
      <sz val="9"/>
      <color indexed="23"/>
      <name val="Calibri"/>
      <family val="2"/>
    </font>
    <font>
      <i/>
      <sz val="9"/>
      <color indexed="23"/>
      <name val="Calibri"/>
      <family val="2"/>
    </font>
    <font>
      <b/>
      <sz val="8"/>
      <name val="Calibri"/>
      <family val="2"/>
    </font>
    <font>
      <i/>
      <sz val="8"/>
      <color indexed="55"/>
      <name val="Calibri"/>
      <family val="2"/>
    </font>
    <font>
      <b/>
      <i/>
      <sz val="9"/>
      <color indexed="55"/>
      <name val="Calibri"/>
      <family val="2"/>
      <scheme val="minor"/>
    </font>
    <font>
      <b/>
      <sz val="12"/>
      <color indexed="16"/>
      <name val="Calibri"/>
      <family val="2"/>
      <scheme val="minor"/>
    </font>
    <font>
      <b/>
      <sz val="12"/>
      <color rgb="FFC00000"/>
      <name val="Calibri"/>
      <family val="2"/>
      <scheme val="minor"/>
    </font>
    <font>
      <b/>
      <sz val="9"/>
      <color rgb="FFC00000"/>
      <name val="Calibri"/>
      <family val="2"/>
      <scheme val="minor"/>
    </font>
    <font>
      <b/>
      <sz val="11"/>
      <name val="Calibri"/>
      <family val="2"/>
      <scheme val="minor"/>
    </font>
    <font>
      <b/>
      <sz val="11"/>
      <color rgb="FFC00000"/>
      <name val="Calibri"/>
      <family val="2"/>
      <scheme val="minor"/>
    </font>
    <font>
      <u/>
      <sz val="8"/>
      <name val="Calibri"/>
      <family val="2"/>
    </font>
    <font>
      <i/>
      <sz val="9"/>
      <color theme="5" tint="-0.249977111117893"/>
      <name val="Calibri"/>
      <family val="2"/>
      <scheme val="minor"/>
    </font>
    <font>
      <sz val="10"/>
      <color rgb="FFC00000"/>
      <name val="Calibri"/>
      <family val="2"/>
      <scheme val="minor"/>
    </font>
    <font>
      <b/>
      <i/>
      <sz val="10"/>
      <color rgb="FFC00000"/>
      <name val="Calibri"/>
      <family val="2"/>
      <scheme val="minor"/>
    </font>
    <font>
      <b/>
      <sz val="10"/>
      <color rgb="FFC00000"/>
      <name val="Calibri"/>
      <family val="2"/>
    </font>
    <font>
      <b/>
      <i/>
      <sz val="9"/>
      <color theme="4"/>
      <name val="Calibri"/>
      <family val="2"/>
    </font>
    <font>
      <b/>
      <i/>
      <u/>
      <sz val="9"/>
      <color indexed="55"/>
      <name val="Calibri"/>
      <family val="2"/>
    </font>
    <font>
      <sz val="9"/>
      <color indexed="55"/>
      <name val="Calibri"/>
      <family val="2"/>
    </font>
    <font>
      <u/>
      <sz val="9"/>
      <color indexed="55"/>
      <name val="Calibri"/>
      <family val="2"/>
    </font>
    <font>
      <b/>
      <u val="double"/>
      <sz val="9"/>
      <color indexed="55"/>
      <name val="Calibri"/>
      <family val="2"/>
    </font>
    <font>
      <b/>
      <i/>
      <sz val="9"/>
      <color theme="0" tint="-0.34998626667073579"/>
      <name val="Calibri"/>
      <family val="2"/>
    </font>
    <font>
      <u/>
      <sz val="10"/>
      <color theme="10"/>
      <name val="Verdana"/>
    </font>
    <font>
      <u/>
      <sz val="10"/>
      <color theme="11"/>
      <name val="Verdana"/>
    </font>
  </fonts>
  <fills count="10">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499984740745262"/>
        <bgColor indexed="64"/>
      </patternFill>
    </fill>
  </fills>
  <borders count="43">
    <border>
      <left/>
      <right/>
      <top/>
      <bottom/>
      <diagonal/>
    </border>
    <border>
      <left/>
      <right style="medium">
        <color auto="1"/>
      </right>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top/>
      <bottom style="double">
        <color auto="1"/>
      </bottom>
      <diagonal/>
    </border>
    <border>
      <left style="thin">
        <color auto="1"/>
      </left>
      <right/>
      <top/>
      <bottom style="medium">
        <color auto="1"/>
      </bottom>
      <diagonal/>
    </border>
    <border>
      <left/>
      <right/>
      <top/>
      <bottom style="thin">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92" fillId="0" borderId="0" applyNumberFormat="0" applyFill="0" applyBorder="0" applyAlignment="0" applyProtection="0"/>
    <xf numFmtId="0" fontId="93"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cellStyleXfs>
  <cellXfs count="414">
    <xf numFmtId="0" fontId="0" fillId="0" borderId="0" xfId="0"/>
    <xf numFmtId="0" fontId="4" fillId="0" borderId="0" xfId="0" applyFont="1" applyFill="1" applyBorder="1"/>
    <xf numFmtId="0" fontId="6" fillId="0" borderId="0" xfId="0" applyFont="1" applyFill="1" applyBorder="1" applyAlignment="1">
      <alignment vertical="top"/>
    </xf>
    <xf numFmtId="6" fontId="4" fillId="0" borderId="0" xfId="0" applyNumberFormat="1" applyFont="1" applyFill="1" applyBorder="1"/>
    <xf numFmtId="0" fontId="4" fillId="0" borderId="0" xfId="0" applyFont="1"/>
    <xf numFmtId="0" fontId="8" fillId="0" borderId="0" xfId="0" applyFont="1" applyAlignment="1">
      <alignment horizontal="center"/>
    </xf>
    <xf numFmtId="0" fontId="8" fillId="0" borderId="0" xfId="0" applyFont="1" applyAlignment="1">
      <alignment horizontal="center" wrapText="1"/>
    </xf>
    <xf numFmtId="0" fontId="8" fillId="0" borderId="0" xfId="0" applyFont="1" applyFill="1" applyAlignment="1">
      <alignment horizontal="center"/>
    </xf>
    <xf numFmtId="6" fontId="4" fillId="0" borderId="0" xfId="0" applyNumberFormat="1" applyFont="1"/>
    <xf numFmtId="0" fontId="4" fillId="0" borderId="0" xfId="0" applyFont="1" applyFill="1" applyAlignment="1">
      <alignment horizontal="center"/>
    </xf>
    <xf numFmtId="6" fontId="4" fillId="0" borderId="0" xfId="0" applyNumberFormat="1" applyFont="1" applyFill="1" applyAlignment="1">
      <alignment horizontal="center"/>
    </xf>
    <xf numFmtId="0" fontId="9" fillId="0" borderId="0" xfId="0" applyFont="1"/>
    <xf numFmtId="0" fontId="4" fillId="0" borderId="0" xfId="0" applyFont="1" applyFill="1"/>
    <xf numFmtId="165" fontId="4" fillId="0" borderId="0" xfId="0" applyNumberFormat="1" applyFont="1" applyFill="1"/>
    <xf numFmtId="0" fontId="11" fillId="0" borderId="0" xfId="0" applyFont="1" applyFill="1"/>
    <xf numFmtId="0" fontId="13" fillId="0" borderId="0" xfId="0" applyFont="1" applyFill="1"/>
    <xf numFmtId="0" fontId="10" fillId="0" borderId="0" xfId="0" applyFont="1" applyBorder="1" applyAlignment="1">
      <alignment vertical="top"/>
    </xf>
    <xf numFmtId="0" fontId="4" fillId="0" borderId="0" xfId="3" applyFont="1"/>
    <xf numFmtId="0" fontId="14" fillId="0" borderId="0" xfId="3" applyFont="1"/>
    <xf numFmtId="0" fontId="4" fillId="0" borderId="16" xfId="3" applyFont="1" applyBorder="1" applyAlignment="1">
      <alignment horizontal="center"/>
    </xf>
    <xf numFmtId="0" fontId="4" fillId="0" borderId="16" xfId="3" applyFont="1" applyBorder="1"/>
    <xf numFmtId="0" fontId="4" fillId="0" borderId="31" xfId="3" applyFont="1" applyBorder="1"/>
    <xf numFmtId="0" fontId="4" fillId="0" borderId="0" xfId="3" applyFont="1" applyBorder="1" applyAlignment="1">
      <alignment horizontal="center"/>
    </xf>
    <xf numFmtId="0" fontId="4" fillId="0" borderId="0" xfId="3" applyFont="1" applyBorder="1"/>
    <xf numFmtId="0" fontId="4" fillId="0" borderId="32" xfId="3" applyFont="1" applyBorder="1"/>
    <xf numFmtId="0" fontId="14" fillId="0" borderId="0" xfId="3" applyFont="1" applyAlignment="1">
      <alignment vertical="top"/>
    </xf>
    <xf numFmtId="0" fontId="15" fillId="0" borderId="33" xfId="3" applyFont="1" applyBorder="1" applyAlignment="1">
      <alignment horizontal="right"/>
    </xf>
    <xf numFmtId="0" fontId="15" fillId="0" borderId="24" xfId="3" applyFont="1" applyBorder="1" applyAlignment="1">
      <alignment horizontal="center"/>
    </xf>
    <xf numFmtId="0" fontId="15" fillId="0" borderId="24" xfId="3" applyFont="1" applyBorder="1"/>
    <xf numFmtId="0" fontId="15" fillId="0" borderId="34" xfId="3" applyFont="1" applyBorder="1"/>
    <xf numFmtId="0" fontId="16" fillId="0" borderId="0" xfId="3" applyFont="1" applyAlignment="1">
      <alignment vertical="top" wrapText="1"/>
    </xf>
    <xf numFmtId="0" fontId="18" fillId="0" borderId="0" xfId="3" applyFont="1"/>
    <xf numFmtId="0" fontId="4" fillId="0" borderId="35" xfId="3" applyFont="1" applyBorder="1"/>
    <xf numFmtId="0" fontId="19" fillId="0" borderId="16" xfId="3" applyFont="1" applyFill="1" applyBorder="1"/>
    <xf numFmtId="0" fontId="10" fillId="0" borderId="31" xfId="3" applyFont="1" applyBorder="1"/>
    <xf numFmtId="0" fontId="19" fillId="0" borderId="0" xfId="3" applyFont="1" applyFill="1" applyBorder="1"/>
    <xf numFmtId="0" fontId="10" fillId="0" borderId="32" xfId="3" applyFont="1" applyBorder="1"/>
    <xf numFmtId="0" fontId="14" fillId="0" borderId="0" xfId="3" applyFont="1" applyAlignment="1">
      <alignment horizontal="left" indent="1"/>
    </xf>
    <xf numFmtId="0" fontId="19" fillId="0" borderId="0" xfId="3" applyFont="1" applyBorder="1"/>
    <xf numFmtId="0" fontId="20" fillId="0" borderId="0" xfId="0" applyFont="1" applyAlignment="1">
      <alignment horizontal="left"/>
    </xf>
    <xf numFmtId="0" fontId="20" fillId="0" borderId="0" xfId="0" applyFont="1" applyAlignment="1">
      <alignment horizontal="center"/>
    </xf>
    <xf numFmtId="0" fontId="21" fillId="0" borderId="0" xfId="0" applyFont="1" applyAlignment="1">
      <alignment horizontal="center"/>
    </xf>
    <xf numFmtId="166" fontId="4" fillId="0" borderId="0" xfId="0" applyNumberFormat="1" applyFont="1" applyAlignment="1"/>
    <xf numFmtId="166" fontId="19" fillId="0" borderId="18" xfId="1" applyNumberFormat="1" applyFont="1" applyFill="1" applyBorder="1" applyAlignment="1">
      <alignment horizontal="right"/>
    </xf>
    <xf numFmtId="0" fontId="11" fillId="0" borderId="23" xfId="0" applyFont="1" applyFill="1" applyBorder="1" applyAlignment="1">
      <alignment horizontal="right"/>
    </xf>
    <xf numFmtId="0" fontId="11" fillId="0" borderId="23" xfId="0" applyFont="1" applyFill="1" applyBorder="1" applyAlignment="1">
      <alignment horizontal="left" indent="1"/>
    </xf>
    <xf numFmtId="164" fontId="12" fillId="0" borderId="23" xfId="0" applyNumberFormat="1" applyFont="1" applyFill="1" applyBorder="1"/>
    <xf numFmtId="0" fontId="5" fillId="0" borderId="0" xfId="0" applyFont="1" applyFill="1" applyBorder="1" applyAlignment="1">
      <alignment horizontal="right" vertical="top"/>
    </xf>
    <xf numFmtId="43" fontId="5" fillId="0" borderId="0" xfId="1" applyFont="1" applyFill="1" applyBorder="1" applyAlignment="1">
      <alignment vertical="top"/>
    </xf>
    <xf numFmtId="6" fontId="5" fillId="0" borderId="0" xfId="0" applyNumberFormat="1" applyFont="1" applyFill="1" applyBorder="1" applyAlignment="1">
      <alignment vertical="top"/>
    </xf>
    <xf numFmtId="164" fontId="4" fillId="0" borderId="0" xfId="0" applyNumberFormat="1" applyFont="1" applyFill="1"/>
    <xf numFmtId="10" fontId="4" fillId="2" borderId="25" xfId="3" applyNumberFormat="1" applyFont="1" applyFill="1" applyBorder="1"/>
    <xf numFmtId="10" fontId="4" fillId="2" borderId="30" xfId="3" applyNumberFormat="1" applyFont="1" applyFill="1" applyBorder="1"/>
    <xf numFmtId="0" fontId="11" fillId="2" borderId="0" xfId="0" applyFont="1" applyFill="1" applyAlignment="1">
      <alignment horizontal="center"/>
    </xf>
    <xf numFmtId="0" fontId="4" fillId="2" borderId="0" xfId="0" applyFont="1" applyFill="1" applyAlignment="1">
      <alignment horizontal="center"/>
    </xf>
    <xf numFmtId="6" fontId="4" fillId="2" borderId="0" xfId="0" applyNumberFormat="1" applyFont="1" applyFill="1" applyAlignment="1">
      <alignment horizontal="center"/>
    </xf>
    <xf numFmtId="0" fontId="4" fillId="2" borderId="0" xfId="0" applyFont="1" applyFill="1"/>
    <xf numFmtId="0" fontId="19" fillId="0" borderId="0" xfId="0" applyFont="1"/>
    <xf numFmtId="0" fontId="19" fillId="0" borderId="0" xfId="0" applyNumberFormat="1" applyFont="1" applyFill="1" applyAlignment="1">
      <alignment horizontal="center"/>
    </xf>
    <xf numFmtId="0" fontId="28" fillId="0" borderId="23" xfId="0" applyFont="1" applyFill="1" applyBorder="1"/>
    <xf numFmtId="0" fontId="19" fillId="0" borderId="0" xfId="0" applyFont="1" applyFill="1"/>
    <xf numFmtId="0" fontId="23" fillId="0" borderId="0" xfId="0" applyFont="1"/>
    <xf numFmtId="0" fontId="10" fillId="0" borderId="6" xfId="0" applyFont="1" applyBorder="1" applyAlignment="1">
      <alignment vertical="top"/>
    </xf>
    <xf numFmtId="166" fontId="19" fillId="0" borderId="21" xfId="1" applyNumberFormat="1" applyFont="1" applyFill="1" applyBorder="1" applyAlignment="1">
      <alignment horizontal="right"/>
    </xf>
    <xf numFmtId="0" fontId="29" fillId="0" borderId="0" xfId="0" applyFont="1"/>
    <xf numFmtId="0" fontId="14" fillId="0" borderId="0" xfId="0" applyFont="1" applyAlignment="1">
      <alignment horizontal="left"/>
    </xf>
    <xf numFmtId="0" fontId="15" fillId="0" borderId="0" xfId="0" applyFont="1" applyFill="1"/>
    <xf numFmtId="0" fontId="19" fillId="3" borderId="0" xfId="0" applyFont="1" applyFill="1" applyAlignment="1">
      <alignment horizontal="center"/>
    </xf>
    <xf numFmtId="0" fontId="7" fillId="0" borderId="0" xfId="0" applyFont="1" applyFill="1" applyAlignment="1">
      <alignment horizontal="center"/>
    </xf>
    <xf numFmtId="0" fontId="7" fillId="0" borderId="20" xfId="0" applyFont="1" applyFill="1" applyBorder="1"/>
    <xf numFmtId="0" fontId="11" fillId="0" borderId="20" xfId="0" applyFont="1" applyFill="1" applyBorder="1"/>
    <xf numFmtId="165" fontId="7" fillId="0" borderId="20" xfId="0" applyNumberFormat="1" applyFont="1" applyFill="1" applyBorder="1"/>
    <xf numFmtId="0" fontId="23" fillId="0" borderId="20" xfId="0" applyNumberFormat="1" applyFont="1" applyFill="1" applyBorder="1" applyAlignment="1">
      <alignment horizontal="center"/>
    </xf>
    <xf numFmtId="0" fontId="7" fillId="0" borderId="0" xfId="0" applyFont="1" applyFill="1"/>
    <xf numFmtId="0" fontId="11" fillId="0" borderId="23" xfId="0" applyFont="1" applyFill="1" applyBorder="1"/>
    <xf numFmtId="10" fontId="30" fillId="0" borderId="0" xfId="2" applyNumberFormat="1" applyFont="1" applyFill="1"/>
    <xf numFmtId="165" fontId="30" fillId="0" borderId="0" xfId="0" applyNumberFormat="1" applyFont="1" applyFill="1"/>
    <xf numFmtId="0" fontId="7" fillId="0" borderId="0" xfId="0" applyFont="1"/>
    <xf numFmtId="0" fontId="31" fillId="0" borderId="0" xfId="0" applyFont="1"/>
    <xf numFmtId="0" fontId="15" fillId="0" borderId="0" xfId="0" applyFont="1"/>
    <xf numFmtId="0" fontId="32" fillId="0" borderId="0" xfId="0" applyFont="1"/>
    <xf numFmtId="164" fontId="4" fillId="2" borderId="0" xfId="0" applyNumberFormat="1" applyFont="1" applyFill="1"/>
    <xf numFmtId="164" fontId="4" fillId="0" borderId="0" xfId="0" applyNumberFormat="1" applyFont="1"/>
    <xf numFmtId="164" fontId="9" fillId="2" borderId="0" xfId="0" applyNumberFormat="1" applyFont="1" applyFill="1"/>
    <xf numFmtId="164" fontId="9" fillId="0" borderId="0" xfId="0" applyNumberFormat="1" applyFont="1"/>
    <xf numFmtId="0" fontId="33" fillId="0" borderId="0" xfId="0" applyFont="1"/>
    <xf numFmtId="0" fontId="7" fillId="0" borderId="0" xfId="0" applyFont="1" applyAlignment="1">
      <alignment horizontal="center"/>
    </xf>
    <xf numFmtId="164" fontId="7" fillId="0" borderId="0" xfId="0" applyNumberFormat="1" applyFont="1"/>
    <xf numFmtId="164" fontId="34" fillId="0" borderId="0" xfId="0" applyNumberFormat="1" applyFont="1"/>
    <xf numFmtId="0" fontId="35" fillId="0" borderId="0" xfId="0" applyFont="1"/>
    <xf numFmtId="0" fontId="36" fillId="0" borderId="0" xfId="0" applyFont="1"/>
    <xf numFmtId="0" fontId="37" fillId="0" borderId="0" xfId="0" applyFont="1"/>
    <xf numFmtId="0" fontId="7" fillId="0" borderId="0" xfId="0" applyFont="1" applyFill="1" applyAlignment="1"/>
    <xf numFmtId="0" fontId="7" fillId="2" borderId="0" xfId="0" applyFont="1" applyFill="1" applyAlignment="1">
      <alignment horizontal="center"/>
    </xf>
    <xf numFmtId="0" fontId="23" fillId="0" borderId="0" xfId="0" applyFont="1" applyBorder="1" applyAlignment="1">
      <alignment vertical="top"/>
    </xf>
    <xf numFmtId="6" fontId="4" fillId="2" borderId="6" xfId="0" applyNumberFormat="1" applyFont="1" applyFill="1" applyBorder="1" applyAlignment="1">
      <alignment horizontal="center"/>
    </xf>
    <xf numFmtId="6" fontId="4" fillId="2" borderId="0" xfId="0" applyNumberFormat="1" applyFont="1" applyFill="1" applyBorder="1" applyAlignment="1">
      <alignment horizontal="center"/>
    </xf>
    <xf numFmtId="0" fontId="7" fillId="0" borderId="23" xfId="0" applyFont="1" applyBorder="1" applyAlignment="1">
      <alignment horizontal="center"/>
    </xf>
    <xf numFmtId="0" fontId="24" fillId="0" borderId="23" xfId="0" applyFont="1" applyBorder="1" applyAlignment="1"/>
    <xf numFmtId="0" fontId="24" fillId="0" borderId="23" xfId="0" applyFont="1" applyBorder="1" applyAlignment="1">
      <alignment horizontal="right"/>
    </xf>
    <xf numFmtId="166" fontId="23" fillId="0" borderId="12" xfId="1" applyNumberFormat="1" applyFont="1" applyFill="1" applyBorder="1" applyAlignment="1">
      <alignment horizontal="right"/>
    </xf>
    <xf numFmtId="0" fontId="4" fillId="2" borderId="6" xfId="0" applyFont="1" applyFill="1" applyBorder="1" applyAlignment="1">
      <alignment horizontal="left"/>
    </xf>
    <xf numFmtId="0" fontId="4" fillId="2" borderId="0" xfId="0" applyFont="1" applyFill="1" applyBorder="1" applyAlignment="1">
      <alignment horizontal="left"/>
    </xf>
    <xf numFmtId="166" fontId="19" fillId="0" borderId="17" xfId="1" applyNumberFormat="1" applyFont="1" applyFill="1" applyBorder="1" applyAlignment="1">
      <alignment horizontal="right"/>
    </xf>
    <xf numFmtId="0" fontId="7" fillId="0" borderId="4" xfId="0" applyFont="1" applyBorder="1" applyAlignment="1">
      <alignment horizontal="right"/>
    </xf>
    <xf numFmtId="6" fontId="9" fillId="0" borderId="0" xfId="0" applyNumberFormat="1" applyFont="1"/>
    <xf numFmtId="0" fontId="7" fillId="0" borderId="22" xfId="0" applyFont="1" applyBorder="1" applyAlignment="1">
      <alignment horizontal="right"/>
    </xf>
    <xf numFmtId="0" fontId="41" fillId="0" borderId="0" xfId="0" applyFont="1"/>
    <xf numFmtId="0" fontId="43" fillId="0" borderId="0" xfId="0" applyFont="1"/>
    <xf numFmtId="0" fontId="44" fillId="0" borderId="0" xfId="0" applyFont="1"/>
    <xf numFmtId="165" fontId="41" fillId="0" borderId="9" xfId="0" applyNumberFormat="1" applyFont="1" applyBorder="1" applyAlignment="1">
      <alignment horizontal="right"/>
    </xf>
    <xf numFmtId="165" fontId="41" fillId="0" borderId="10" xfId="0" applyNumberFormat="1" applyFont="1" applyBorder="1" applyAlignment="1">
      <alignment horizontal="right"/>
    </xf>
    <xf numFmtId="165" fontId="43" fillId="0" borderId="0" xfId="0" applyNumberFormat="1" applyFont="1"/>
    <xf numFmtId="165" fontId="42" fillId="0" borderId="11" xfId="0" applyNumberFormat="1" applyFont="1" applyBorder="1" applyAlignment="1">
      <alignment horizontal="right"/>
    </xf>
    <xf numFmtId="165" fontId="42" fillId="0" borderId="12" xfId="0" applyNumberFormat="1" applyFont="1" applyBorder="1" applyAlignment="1">
      <alignment horizontal="right"/>
    </xf>
    <xf numFmtId="10" fontId="45" fillId="0" borderId="6" xfId="0" applyNumberFormat="1" applyFont="1" applyBorder="1" applyAlignment="1"/>
    <xf numFmtId="165" fontId="41" fillId="0" borderId="14" xfId="0" applyNumberFormat="1" applyFont="1" applyBorder="1" applyAlignment="1">
      <alignment horizontal="right"/>
    </xf>
    <xf numFmtId="165" fontId="41" fillId="0" borderId="21" xfId="0" applyNumberFormat="1" applyFont="1" applyBorder="1" applyAlignment="1">
      <alignment horizontal="right"/>
    </xf>
    <xf numFmtId="0" fontId="39" fillId="0" borderId="0" xfId="0" applyFont="1"/>
    <xf numFmtId="165" fontId="46" fillId="0" borderId="0" xfId="0" applyNumberFormat="1" applyFont="1"/>
    <xf numFmtId="165" fontId="42" fillId="0" borderId="26" xfId="0" applyNumberFormat="1" applyFont="1" applyBorder="1" applyAlignment="1">
      <alignment horizontal="right" vertical="top"/>
    </xf>
    <xf numFmtId="165" fontId="42" fillId="0" borderId="18" xfId="0" applyNumberFormat="1" applyFont="1" applyBorder="1" applyAlignment="1">
      <alignment horizontal="right" vertical="top"/>
    </xf>
    <xf numFmtId="0" fontId="41" fillId="0" borderId="2" xfId="0" applyFont="1" applyBorder="1" applyAlignment="1">
      <alignment vertical="center" wrapText="1"/>
    </xf>
    <xf numFmtId="0" fontId="48" fillId="0" borderId="0" xfId="0" applyFont="1" applyAlignment="1"/>
    <xf numFmtId="165" fontId="48" fillId="0" borderId="0" xfId="0" applyNumberFormat="1" applyFont="1" applyAlignment="1"/>
    <xf numFmtId="0" fontId="48" fillId="0" borderId="0" xfId="0" applyFont="1"/>
    <xf numFmtId="0" fontId="48" fillId="0" borderId="0" xfId="0" applyFont="1" applyBorder="1" applyAlignment="1"/>
    <xf numFmtId="0" fontId="41" fillId="0" borderId="3" xfId="0" applyFont="1" applyBorder="1" applyAlignment="1">
      <alignment vertical="center" wrapText="1"/>
    </xf>
    <xf numFmtId="0" fontId="41" fillId="0" borderId="0" xfId="0" applyFont="1" applyBorder="1" applyAlignment="1">
      <alignment vertical="top"/>
    </xf>
    <xf numFmtId="0" fontId="41" fillId="0" borderId="0" xfId="0" applyFont="1" applyAlignment="1"/>
    <xf numFmtId="0" fontId="41" fillId="0" borderId="0" xfId="0" applyFont="1" applyAlignment="1">
      <alignment horizontal="left"/>
    </xf>
    <xf numFmtId="0" fontId="41" fillId="0" borderId="3" xfId="0" applyFont="1" applyBorder="1" applyAlignment="1"/>
    <xf numFmtId="0" fontId="42" fillId="0" borderId="0" xfId="0" applyFont="1" applyBorder="1" applyAlignment="1">
      <alignment horizontal="center"/>
    </xf>
    <xf numFmtId="0" fontId="41" fillId="0" borderId="19" xfId="0" applyFont="1" applyBorder="1" applyAlignment="1"/>
    <xf numFmtId="0" fontId="41" fillId="0" borderId="20" xfId="0" applyFont="1" applyBorder="1" applyAlignment="1"/>
    <xf numFmtId="0" fontId="41" fillId="0" borderId="20" xfId="0" applyFont="1" applyBorder="1" applyAlignment="1">
      <alignment vertical="top"/>
    </xf>
    <xf numFmtId="0" fontId="42" fillId="0" borderId="22" xfId="0" applyFont="1" applyBorder="1" applyAlignment="1"/>
    <xf numFmtId="0" fontId="42" fillId="0" borderId="23" xfId="0" applyFont="1" applyBorder="1" applyAlignment="1"/>
    <xf numFmtId="0" fontId="42" fillId="0" borderId="8" xfId="0" applyFont="1" applyBorder="1" applyAlignment="1"/>
    <xf numFmtId="0" fontId="41" fillId="0" borderId="6" xfId="0" applyFont="1" applyBorder="1" applyAlignment="1"/>
    <xf numFmtId="0" fontId="50" fillId="0" borderId="5" xfId="0" applyFont="1" applyBorder="1" applyAlignment="1">
      <alignment vertical="center"/>
    </xf>
    <xf numFmtId="0" fontId="42" fillId="0" borderId="5" xfId="0" applyFont="1" applyBorder="1" applyAlignment="1">
      <alignment vertical="top"/>
    </xf>
    <xf numFmtId="8" fontId="41" fillId="0" borderId="0" xfId="0" applyNumberFormat="1" applyFont="1" applyBorder="1" applyAlignment="1"/>
    <xf numFmtId="10" fontId="25" fillId="0" borderId="0" xfId="0" applyNumberFormat="1" applyFont="1" applyBorder="1" applyAlignment="1">
      <alignment horizontal="center" vertical="top"/>
    </xf>
    <xf numFmtId="0" fontId="42" fillId="0" borderId="2" xfId="0" applyFont="1" applyBorder="1" applyAlignment="1">
      <alignment vertical="center" wrapText="1"/>
    </xf>
    <xf numFmtId="164" fontId="42" fillId="0" borderId="2" xfId="0" applyNumberFormat="1" applyFont="1" applyFill="1" applyBorder="1" applyAlignment="1">
      <alignment vertical="center"/>
    </xf>
    <xf numFmtId="164" fontId="42" fillId="0" borderId="2" xfId="0" applyNumberFormat="1" applyFont="1" applyBorder="1" applyAlignment="1">
      <alignment horizontal="right" vertical="center"/>
    </xf>
    <xf numFmtId="0" fontId="42" fillId="0" borderId="3" xfId="0" applyFont="1" applyBorder="1" applyAlignment="1">
      <alignment vertical="center" wrapText="1"/>
    </xf>
    <xf numFmtId="164" fontId="42" fillId="0" borderId="3" xfId="0" applyNumberFormat="1" applyFont="1" applyFill="1" applyBorder="1" applyAlignment="1">
      <alignment vertical="center"/>
    </xf>
    <xf numFmtId="164" fontId="42" fillId="0" borderId="3" xfId="0" applyNumberFormat="1" applyFont="1" applyBorder="1" applyAlignment="1">
      <alignment horizontal="right" vertical="center"/>
    </xf>
    <xf numFmtId="166" fontId="22" fillId="4" borderId="19" xfId="0" applyNumberFormat="1" applyFont="1" applyFill="1" applyBorder="1" applyAlignment="1">
      <alignment vertical="center"/>
    </xf>
    <xf numFmtId="0" fontId="49" fillId="0" borderId="0" xfId="0" applyFont="1" applyFill="1"/>
    <xf numFmtId="0" fontId="47" fillId="0" borderId="0" xfId="0" applyFont="1" applyFill="1"/>
    <xf numFmtId="9" fontId="41" fillId="0" borderId="0" xfId="0" applyNumberFormat="1" applyFont="1" applyFill="1" applyAlignment="1">
      <alignment horizontal="center"/>
    </xf>
    <xf numFmtId="9" fontId="42" fillId="0" borderId="20" xfId="0" applyNumberFormat="1" applyFont="1" applyFill="1" applyBorder="1" applyAlignment="1">
      <alignment horizontal="center"/>
    </xf>
    <xf numFmtId="9" fontId="25" fillId="0" borderId="23" xfId="0" applyNumberFormat="1" applyFont="1" applyFill="1" applyBorder="1" applyAlignment="1">
      <alignment horizontal="center"/>
    </xf>
    <xf numFmtId="6" fontId="41" fillId="0" borderId="0" xfId="0" applyNumberFormat="1" applyFont="1" applyFill="1"/>
    <xf numFmtId="6" fontId="42" fillId="0" borderId="20" xfId="0" applyNumberFormat="1" applyFont="1" applyFill="1" applyBorder="1"/>
    <xf numFmtId="165" fontId="25" fillId="0" borderId="23" xfId="0" applyNumberFormat="1" applyFont="1" applyFill="1" applyBorder="1"/>
    <xf numFmtId="0" fontId="25" fillId="0" borderId="20" xfId="0" applyFont="1" applyFill="1" applyBorder="1"/>
    <xf numFmtId="0" fontId="47" fillId="0" borderId="0" xfId="0" applyFont="1"/>
    <xf numFmtId="168" fontId="4" fillId="0" borderId="0" xfId="0" applyNumberFormat="1" applyFont="1"/>
    <xf numFmtId="167" fontId="41" fillId="0" borderId="0" xfId="0" applyNumberFormat="1" applyFont="1" applyFill="1" applyAlignment="1">
      <alignment horizontal="center"/>
    </xf>
    <xf numFmtId="0" fontId="42" fillId="0" borderId="20" xfId="0" applyFont="1" applyFill="1" applyBorder="1" applyAlignment="1">
      <alignment horizontal="center"/>
    </xf>
    <xf numFmtId="0" fontId="25" fillId="0" borderId="23" xfId="0" applyFont="1" applyFill="1" applyBorder="1" applyAlignment="1">
      <alignment horizontal="center"/>
    </xf>
    <xf numFmtId="10" fontId="47" fillId="0" borderId="0" xfId="0" applyNumberFormat="1" applyFont="1" applyFill="1"/>
    <xf numFmtId="10" fontId="40" fillId="0" borderId="20" xfId="0" applyNumberFormat="1" applyFont="1" applyFill="1" applyBorder="1"/>
    <xf numFmtId="10" fontId="26" fillId="0" borderId="23" xfId="0" applyNumberFormat="1" applyFont="1" applyFill="1" applyBorder="1"/>
    <xf numFmtId="0" fontId="27" fillId="0" borderId="20" xfId="0" applyFont="1" applyBorder="1" applyAlignment="1">
      <alignment horizontal="center" vertical="top" wrapText="1"/>
    </xf>
    <xf numFmtId="0" fontId="25" fillId="0" borderId="20" xfId="0" applyFont="1" applyBorder="1" applyAlignment="1">
      <alignment horizontal="center"/>
    </xf>
    <xf numFmtId="0" fontId="25" fillId="0" borderId="0" xfId="0" applyFont="1" applyAlignment="1">
      <alignment horizontal="center"/>
    </xf>
    <xf numFmtId="0" fontId="27" fillId="0" borderId="0" xfId="0" applyFont="1" applyAlignment="1">
      <alignment horizontal="center"/>
    </xf>
    <xf numFmtId="0" fontId="25" fillId="0" borderId="24" xfId="0" applyFont="1" applyBorder="1" applyAlignment="1"/>
    <xf numFmtId="165" fontId="25" fillId="0" borderId="24" xfId="0" applyNumberFormat="1" applyFont="1" applyBorder="1" applyAlignment="1"/>
    <xf numFmtId="0" fontId="53" fillId="0" borderId="0" xfId="0" applyFont="1" applyAlignment="1">
      <alignment horizontal="right"/>
    </xf>
    <xf numFmtId="164" fontId="54" fillId="0" borderId="0" xfId="0" applyNumberFormat="1" applyFont="1"/>
    <xf numFmtId="0" fontId="42" fillId="0" borderId="5" xfId="0" applyFont="1" applyBorder="1" applyAlignment="1"/>
    <xf numFmtId="0" fontId="41" fillId="0" borderId="0" xfId="0" applyFont="1" applyBorder="1" applyAlignment="1"/>
    <xf numFmtId="165" fontId="41" fillId="0" borderId="26" xfId="0" applyNumberFormat="1" applyFont="1" applyBorder="1" applyAlignment="1">
      <alignment horizontal="right"/>
    </xf>
    <xf numFmtId="165" fontId="41" fillId="0" borderId="18" xfId="0" applyNumberFormat="1" applyFont="1" applyBorder="1" applyAlignment="1">
      <alignment horizontal="right"/>
    </xf>
    <xf numFmtId="10" fontId="55" fillId="0" borderId="0" xfId="0" applyNumberFormat="1" applyFont="1" applyBorder="1" applyAlignment="1"/>
    <xf numFmtId="0" fontId="55" fillId="0" borderId="0" xfId="0" applyFont="1" applyBorder="1" applyAlignment="1">
      <alignment horizontal="center"/>
    </xf>
    <xf numFmtId="0" fontId="50" fillId="5" borderId="0" xfId="0" applyFont="1" applyFill="1" applyBorder="1" applyAlignment="1">
      <alignment horizontal="center" vertical="top"/>
    </xf>
    <xf numFmtId="0" fontId="52" fillId="0" borderId="0" xfId="0" applyFont="1" applyBorder="1" applyAlignment="1">
      <alignment vertical="top"/>
    </xf>
    <xf numFmtId="0" fontId="42" fillId="0" borderId="8" xfId="0" applyFont="1" applyBorder="1" applyAlignment="1">
      <alignment horizontal="left"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42" fillId="0" borderId="3" xfId="0" applyFont="1" applyBorder="1" applyAlignment="1">
      <alignment horizontal="right" vertical="center"/>
    </xf>
    <xf numFmtId="0" fontId="42" fillId="0" borderId="1" xfId="0" applyFont="1" applyBorder="1" applyAlignment="1">
      <alignment horizontal="center" vertical="center"/>
    </xf>
    <xf numFmtId="0" fontId="42" fillId="0" borderId="6" xfId="0" applyFont="1" applyBorder="1" applyAlignment="1">
      <alignment horizontal="center"/>
    </xf>
    <xf numFmtId="0" fontId="42" fillId="0" borderId="3" xfId="0" applyFont="1" applyBorder="1" applyAlignment="1">
      <alignment horizontal="center" vertical="top"/>
    </xf>
    <xf numFmtId="165" fontId="56" fillId="0" borderId="0" xfId="0" applyNumberFormat="1" applyFont="1" applyAlignment="1"/>
    <xf numFmtId="0" fontId="25" fillId="0" borderId="0" xfId="0" applyFont="1" applyBorder="1"/>
    <xf numFmtId="0" fontId="41" fillId="0" borderId="16" xfId="0" applyFont="1" applyBorder="1" applyAlignment="1"/>
    <xf numFmtId="0" fontId="57" fillId="0" borderId="0" xfId="0" applyFont="1" applyFill="1" applyAlignment="1">
      <alignment horizontal="center"/>
    </xf>
    <xf numFmtId="0" fontId="42" fillId="0" borderId="0" xfId="0" applyFont="1"/>
    <xf numFmtId="0" fontId="40" fillId="0" borderId="0" xfId="0" applyFont="1"/>
    <xf numFmtId="0" fontId="40" fillId="0" borderId="0" xfId="0" applyFont="1" applyAlignment="1">
      <alignment horizontal="center"/>
    </xf>
    <xf numFmtId="0" fontId="58" fillId="0" borderId="0" xfId="0" applyFont="1"/>
    <xf numFmtId="0" fontId="52" fillId="0" borderId="0" xfId="0" applyFont="1"/>
    <xf numFmtId="0" fontId="59" fillId="0" borderId="0" xfId="0" applyFont="1"/>
    <xf numFmtId="0" fontId="55" fillId="0" borderId="0" xfId="0" applyFont="1"/>
    <xf numFmtId="0" fontId="55" fillId="0" borderId="0" xfId="0" applyFont="1" applyAlignment="1">
      <alignment horizontal="center"/>
    </xf>
    <xf numFmtId="0" fontId="59" fillId="0" borderId="0" xfId="0" applyFont="1" applyAlignment="1">
      <alignment horizontal="center"/>
    </xf>
    <xf numFmtId="0" fontId="60" fillId="0" borderId="0" xfId="0" applyFont="1" applyAlignment="1">
      <alignment horizontal="center"/>
    </xf>
    <xf numFmtId="0" fontId="61" fillId="0" borderId="0" xfId="0" applyFont="1" applyFill="1"/>
    <xf numFmtId="0" fontId="42" fillId="0" borderId="8" xfId="0" applyFont="1" applyBorder="1" applyAlignment="1">
      <alignment horizontal="left"/>
    </xf>
    <xf numFmtId="0" fontId="42" fillId="0" borderId="6" xfId="0" applyFont="1" applyBorder="1" applyAlignment="1">
      <alignment horizontal="left"/>
    </xf>
    <xf numFmtId="0" fontId="42" fillId="0" borderId="15" xfId="0" applyFont="1" applyBorder="1" applyAlignment="1"/>
    <xf numFmtId="0" fontId="42" fillId="0" borderId="5" xfId="0" applyFont="1" applyBorder="1" applyAlignment="1">
      <alignment horizontal="left"/>
    </xf>
    <xf numFmtId="0" fontId="42" fillId="0" borderId="0" xfId="0" applyFont="1" applyBorder="1" applyAlignment="1">
      <alignment horizontal="left"/>
    </xf>
    <xf numFmtId="0" fontId="42" fillId="0" borderId="13" xfId="0" applyFont="1" applyBorder="1" applyAlignment="1">
      <alignment horizontal="center"/>
    </xf>
    <xf numFmtId="0" fontId="42" fillId="0" borderId="17" xfId="0" applyFont="1" applyBorder="1" applyAlignment="1">
      <alignment horizontal="center"/>
    </xf>
    <xf numFmtId="0" fontId="42" fillId="0" borderId="27" xfId="0" applyFont="1" applyBorder="1" applyAlignment="1">
      <alignment horizontal="left" indent="1"/>
    </xf>
    <xf numFmtId="0" fontId="42" fillId="0" borderId="25" xfId="0" applyFont="1" applyBorder="1" applyAlignment="1">
      <alignment horizontal="left" indent="1"/>
    </xf>
    <xf numFmtId="14" fontId="42" fillId="5" borderId="14" xfId="0" applyNumberFormat="1" applyFont="1" applyFill="1" applyBorder="1" applyAlignment="1">
      <alignment horizontal="center"/>
    </xf>
    <xf numFmtId="14" fontId="42" fillId="5" borderId="26" xfId="0" applyNumberFormat="1" applyFont="1" applyFill="1" applyBorder="1" applyAlignment="1">
      <alignment horizontal="center"/>
    </xf>
    <xf numFmtId="169" fontId="42" fillId="0" borderId="3" xfId="0" applyNumberFormat="1" applyFont="1" applyBorder="1" applyAlignment="1">
      <alignment horizontal="center" vertical="top"/>
    </xf>
    <xf numFmtId="14" fontId="42" fillId="5" borderId="21" xfId="0" applyNumberFormat="1" applyFont="1" applyFill="1" applyBorder="1" applyAlignment="1">
      <alignment horizontal="center"/>
    </xf>
    <xf numFmtId="14" fontId="42" fillId="5" borderId="18" xfId="0" applyNumberFormat="1" applyFont="1" applyFill="1" applyBorder="1" applyAlignment="1">
      <alignment horizontal="center"/>
    </xf>
    <xf numFmtId="0" fontId="42" fillId="0" borderId="0" xfId="0" applyFont="1" applyBorder="1" applyAlignment="1">
      <alignment vertical="top"/>
    </xf>
    <xf numFmtId="0" fontId="62" fillId="0" borderId="0" xfId="0" applyFont="1" applyBorder="1" applyAlignment="1">
      <alignment vertical="top"/>
    </xf>
    <xf numFmtId="0" fontId="63" fillId="0" borderId="0" xfId="0" applyFont="1" applyAlignment="1">
      <alignment horizontal="right"/>
    </xf>
    <xf numFmtId="0" fontId="42" fillId="0" borderId="0" xfId="0" applyFont="1" applyAlignment="1">
      <alignment horizontal="left" indent="1"/>
    </xf>
    <xf numFmtId="169" fontId="42" fillId="0" borderId="0" xfId="0" applyNumberFormat="1" applyFont="1" applyBorder="1" applyAlignment="1">
      <alignment horizontal="center" vertical="top"/>
    </xf>
    <xf numFmtId="165" fontId="46" fillId="0" borderId="0" xfId="0" applyNumberFormat="1" applyFont="1"/>
    <xf numFmtId="0" fontId="62" fillId="0" borderId="0" xfId="0" applyFont="1" applyAlignment="1">
      <alignment horizontal="right"/>
    </xf>
    <xf numFmtId="10" fontId="42" fillId="0" borderId="0" xfId="0" applyNumberFormat="1" applyFont="1" applyBorder="1" applyAlignment="1">
      <alignment horizontal="center" vertical="top"/>
    </xf>
    <xf numFmtId="0" fontId="64" fillId="0" borderId="0" xfId="0" applyFont="1" applyAlignment="1">
      <alignment horizontal="center" vertical="center"/>
    </xf>
    <xf numFmtId="165" fontId="48" fillId="0" borderId="0" xfId="0" applyNumberFormat="1" applyFont="1" applyAlignment="1">
      <alignment horizontal="center"/>
    </xf>
    <xf numFmtId="0" fontId="64" fillId="0" borderId="0" xfId="0" applyFont="1" applyAlignment="1">
      <alignment vertical="center"/>
    </xf>
    <xf numFmtId="0" fontId="65" fillId="0" borderId="0" xfId="0" applyFont="1" applyAlignment="1">
      <alignment vertical="center"/>
    </xf>
    <xf numFmtId="0" fontId="49" fillId="2" borderId="0" xfId="0" applyFont="1" applyFill="1"/>
    <xf numFmtId="0" fontId="47" fillId="2" borderId="0" xfId="0" applyFont="1" applyFill="1"/>
    <xf numFmtId="165" fontId="4" fillId="2" borderId="0" xfId="0" applyNumberFormat="1" applyFont="1" applyFill="1"/>
    <xf numFmtId="2" fontId="41" fillId="2" borderId="0" xfId="0" applyNumberFormat="1" applyFont="1" applyFill="1" applyAlignment="1">
      <alignment horizontal="center"/>
    </xf>
    <xf numFmtId="0" fontId="19" fillId="2" borderId="0" xfId="0" applyNumberFormat="1" applyFont="1" applyFill="1" applyAlignment="1">
      <alignment horizontal="center"/>
    </xf>
    <xf numFmtId="9" fontId="41" fillId="2" borderId="0" xfId="0" applyNumberFormat="1" applyFont="1" applyFill="1" applyAlignment="1">
      <alignment horizontal="center"/>
    </xf>
    <xf numFmtId="1" fontId="41" fillId="2" borderId="0" xfId="0" applyNumberFormat="1" applyFont="1" applyFill="1" applyAlignment="1">
      <alignment horizontal="center"/>
    </xf>
    <xf numFmtId="2" fontId="41" fillId="2" borderId="0" xfId="1" applyNumberFormat="1" applyFont="1" applyFill="1" applyAlignment="1">
      <alignment horizontal="center"/>
    </xf>
    <xf numFmtId="0" fontId="51" fillId="2" borderId="20" xfId="0" applyFont="1" applyFill="1" applyBorder="1" applyAlignment="1">
      <alignment horizontal="right" vertical="top"/>
    </xf>
    <xf numFmtId="6" fontId="51" fillId="2" borderId="20" xfId="0" applyNumberFormat="1" applyFont="1" applyFill="1" applyBorder="1" applyAlignment="1">
      <alignment vertical="top"/>
    </xf>
    <xf numFmtId="0" fontId="19" fillId="2" borderId="8" xfId="0" applyFont="1" applyFill="1" applyBorder="1" applyAlignment="1">
      <alignment vertical="top"/>
    </xf>
    <xf numFmtId="0" fontId="19" fillId="2" borderId="5" xfId="0" applyFont="1" applyFill="1" applyBorder="1" applyAlignment="1">
      <alignment vertical="top"/>
    </xf>
    <xf numFmtId="0" fontId="19" fillId="2" borderId="15" xfId="0" applyFont="1" applyFill="1" applyBorder="1" applyAlignment="1">
      <alignment vertical="top"/>
    </xf>
    <xf numFmtId="0" fontId="7" fillId="2" borderId="0" xfId="0" applyFont="1" applyFill="1" applyBorder="1" applyAlignment="1">
      <alignment horizontal="center" vertical="top"/>
    </xf>
    <xf numFmtId="0" fontId="47" fillId="2" borderId="5" xfId="0" applyFont="1" applyFill="1" applyBorder="1" applyAlignment="1">
      <alignment vertical="top"/>
    </xf>
    <xf numFmtId="0" fontId="41" fillId="2" borderId="0" xfId="0" applyFont="1" applyFill="1" applyBorder="1" applyAlignment="1">
      <alignment horizontal="left"/>
    </xf>
    <xf numFmtId="43" fontId="66" fillId="0" borderId="0" xfId="1" applyFont="1" applyFill="1" applyBorder="1" applyAlignment="1">
      <alignment vertical="top"/>
    </xf>
    <xf numFmtId="0" fontId="4" fillId="2" borderId="0" xfId="0" applyFont="1" applyFill="1" applyAlignment="1">
      <alignment horizontal="left"/>
    </xf>
    <xf numFmtId="0" fontId="41" fillId="2" borderId="0" xfId="0" applyFont="1" applyFill="1" applyAlignment="1">
      <alignment horizontal="left"/>
    </xf>
    <xf numFmtId="0" fontId="4" fillId="0" borderId="37" xfId="0" applyFont="1" applyBorder="1"/>
    <xf numFmtId="0" fontId="4" fillId="2" borderId="37" xfId="0" applyFont="1" applyFill="1" applyBorder="1" applyAlignment="1">
      <alignment horizontal="left"/>
    </xf>
    <xf numFmtId="0" fontId="4" fillId="2" borderId="37" xfId="0" applyFont="1" applyFill="1" applyBorder="1" applyAlignment="1">
      <alignment horizontal="center"/>
    </xf>
    <xf numFmtId="6" fontId="4" fillId="2" borderId="37" xfId="0" applyNumberFormat="1" applyFont="1" applyFill="1" applyBorder="1" applyAlignment="1">
      <alignment horizontal="center"/>
    </xf>
    <xf numFmtId="166" fontId="22" fillId="4" borderId="20" xfId="0" applyNumberFormat="1" applyFont="1" applyFill="1" applyBorder="1" applyAlignment="1">
      <alignment vertical="center"/>
    </xf>
    <xf numFmtId="0" fontId="7" fillId="0" borderId="38" xfId="0" applyFont="1" applyFill="1" applyBorder="1"/>
    <xf numFmtId="0" fontId="7" fillId="0" borderId="20" xfId="0" applyFont="1" applyFill="1" applyBorder="1" applyAlignment="1">
      <alignment horizontal="center"/>
    </xf>
    <xf numFmtId="6" fontId="7" fillId="0" borderId="20" xfId="0" applyNumberFormat="1" applyFont="1" applyFill="1" applyBorder="1" applyAlignment="1">
      <alignment horizontal="center"/>
    </xf>
    <xf numFmtId="0" fontId="7" fillId="0" borderId="20" xfId="0" quotePrefix="1" applyFont="1" applyFill="1" applyBorder="1" applyAlignment="1">
      <alignment horizontal="center"/>
    </xf>
    <xf numFmtId="6" fontId="7" fillId="0" borderId="39" xfId="0" applyNumberFormat="1" applyFont="1" applyFill="1" applyBorder="1"/>
    <xf numFmtId="0" fontId="8" fillId="6" borderId="0" xfId="0" applyFont="1" applyFill="1" applyAlignment="1">
      <alignment horizontal="center" wrapText="1"/>
    </xf>
    <xf numFmtId="6" fontId="4" fillId="6" borderId="0" xfId="0" applyNumberFormat="1" applyFont="1" applyFill="1" applyAlignment="1">
      <alignment horizontal="center"/>
    </xf>
    <xf numFmtId="6" fontId="4" fillId="6" borderId="37" xfId="0" applyNumberFormat="1" applyFont="1" applyFill="1" applyBorder="1" applyAlignment="1">
      <alignment horizontal="center"/>
    </xf>
    <xf numFmtId="6" fontId="7" fillId="6" borderId="20" xfId="0" applyNumberFormat="1" applyFont="1" applyFill="1" applyBorder="1" applyAlignment="1">
      <alignment horizontal="center"/>
    </xf>
    <xf numFmtId="0" fontId="11" fillId="6" borderId="0" xfId="0" applyFont="1" applyFill="1" applyAlignment="1">
      <alignment horizontal="left" indent="1"/>
    </xf>
    <xf numFmtId="166" fontId="12" fillId="0" borderId="0" xfId="0" applyNumberFormat="1" applyFont="1" applyAlignment="1"/>
    <xf numFmtId="0" fontId="12" fillId="0" borderId="0" xfId="0" applyFont="1" applyFill="1"/>
    <xf numFmtId="166" fontId="68" fillId="0" borderId="21" xfId="1" applyNumberFormat="1" applyFont="1" applyFill="1" applyBorder="1" applyAlignment="1">
      <alignment horizontal="right"/>
    </xf>
    <xf numFmtId="166" fontId="67" fillId="0" borderId="0" xfId="0" applyNumberFormat="1" applyFont="1" applyAlignment="1"/>
    <xf numFmtId="0" fontId="69" fillId="0" borderId="0" xfId="0" applyFont="1"/>
    <xf numFmtId="0" fontId="67" fillId="0" borderId="0" xfId="0" applyFont="1"/>
    <xf numFmtId="8" fontId="4" fillId="2" borderId="6" xfId="0" applyNumberFormat="1" applyFont="1" applyFill="1" applyBorder="1" applyAlignment="1">
      <alignment horizontal="center"/>
    </xf>
    <xf numFmtId="0" fontId="10" fillId="2" borderId="0" xfId="0" applyFont="1" applyFill="1" applyAlignment="1">
      <alignment horizontal="left"/>
    </xf>
    <xf numFmtId="0" fontId="70" fillId="2" borderId="0" xfId="0" applyFont="1" applyFill="1" applyAlignment="1">
      <alignment horizontal="left"/>
    </xf>
    <xf numFmtId="0" fontId="10" fillId="2" borderId="37" xfId="0" applyFont="1" applyFill="1" applyBorder="1" applyAlignment="1">
      <alignment horizontal="left"/>
    </xf>
    <xf numFmtId="0" fontId="10" fillId="2" borderId="0" xfId="0" applyFont="1" applyFill="1"/>
    <xf numFmtId="8" fontId="4" fillId="0" borderId="0" xfId="0" applyNumberFormat="1" applyFont="1"/>
    <xf numFmtId="165" fontId="4" fillId="0" borderId="0" xfId="0" applyNumberFormat="1" applyFont="1"/>
    <xf numFmtId="8" fontId="4" fillId="2" borderId="0" xfId="0" applyNumberFormat="1" applyFont="1" applyFill="1" applyBorder="1" applyAlignment="1">
      <alignment horizontal="center"/>
    </xf>
    <xf numFmtId="165" fontId="72" fillId="0" borderId="26" xfId="0" applyNumberFormat="1" applyFont="1" applyBorder="1" applyAlignment="1">
      <alignment horizontal="right" vertical="top"/>
    </xf>
    <xf numFmtId="165" fontId="72" fillId="0" borderId="18" xfId="0" applyNumberFormat="1" applyFont="1" applyBorder="1" applyAlignment="1">
      <alignment horizontal="right" vertical="top"/>
    </xf>
    <xf numFmtId="0" fontId="4" fillId="6" borderId="0" xfId="0" applyFont="1" applyFill="1"/>
    <xf numFmtId="165" fontId="74" fillId="0" borderId="0" xfId="0" applyNumberFormat="1" applyFont="1"/>
    <xf numFmtId="0" fontId="7" fillId="2" borderId="6" xfId="0" applyFont="1" applyFill="1" applyBorder="1" applyAlignment="1">
      <alignment horizontal="center" vertical="top"/>
    </xf>
    <xf numFmtId="0" fontId="73" fillId="0" borderId="0" xfId="0" applyFont="1" applyAlignment="1">
      <alignment horizontal="center"/>
    </xf>
    <xf numFmtId="6" fontId="47" fillId="0" borderId="0" xfId="0" applyNumberFormat="1" applyFont="1" applyFill="1"/>
    <xf numFmtId="6" fontId="47" fillId="7" borderId="0" xfId="0" applyNumberFormat="1" applyFont="1" applyFill="1"/>
    <xf numFmtId="0" fontId="71" fillId="0" borderId="0" xfId="0" applyFont="1" applyAlignment="1">
      <alignment horizontal="center" vertical="center"/>
    </xf>
    <xf numFmtId="0" fontId="19" fillId="2" borderId="0" xfId="0" applyFont="1" applyFill="1"/>
    <xf numFmtId="0" fontId="73" fillId="8" borderId="0" xfId="0" applyFont="1" applyFill="1" applyAlignment="1">
      <alignment horizontal="center"/>
    </xf>
    <xf numFmtId="0" fontId="73" fillId="8" borderId="0" xfId="0" applyFont="1" applyFill="1"/>
    <xf numFmtId="0" fontId="59" fillId="8" borderId="0" xfId="0" applyFont="1" applyFill="1" applyAlignment="1">
      <alignment horizontal="center"/>
    </xf>
    <xf numFmtId="166" fontId="22" fillId="4" borderId="23" xfId="0" applyNumberFormat="1" applyFont="1" applyFill="1" applyBorder="1" applyAlignment="1">
      <alignment vertical="center"/>
    </xf>
    <xf numFmtId="0" fontId="36" fillId="0" borderId="0" xfId="0" applyFont="1" applyAlignment="1">
      <alignment horizontal="left"/>
    </xf>
    <xf numFmtId="0" fontId="4" fillId="0" borderId="0" xfId="0" applyFont="1" applyAlignment="1">
      <alignment horizontal="left"/>
    </xf>
    <xf numFmtId="164" fontId="75" fillId="0" borderId="0" xfId="0" applyNumberFormat="1" applyFont="1" applyAlignment="1">
      <alignment horizontal="left"/>
    </xf>
    <xf numFmtId="0" fontId="28" fillId="0" borderId="0" xfId="0" applyFont="1" applyAlignment="1">
      <alignment horizontal="left"/>
    </xf>
    <xf numFmtId="0" fontId="4" fillId="0" borderId="0" xfId="0" applyFont="1" applyAlignment="1">
      <alignment horizontal="center"/>
    </xf>
    <xf numFmtId="0" fontId="14" fillId="0" borderId="0" xfId="0" applyFont="1" applyAlignment="1">
      <alignment vertical="top" wrapText="1"/>
    </xf>
    <xf numFmtId="0" fontId="4" fillId="0" borderId="0" xfId="0" applyFont="1" applyAlignment="1"/>
    <xf numFmtId="0" fontId="76" fillId="0" borderId="0" xfId="0" applyFont="1" applyAlignment="1">
      <alignment horizontal="right"/>
    </xf>
    <xf numFmtId="0" fontId="77" fillId="0" borderId="0" xfId="0" applyFont="1" applyAlignment="1">
      <alignment horizontal="right"/>
    </xf>
    <xf numFmtId="0" fontId="4" fillId="0" borderId="0" xfId="0" applyFont="1" applyBorder="1" applyAlignment="1"/>
    <xf numFmtId="0" fontId="78" fillId="0" borderId="0" xfId="0" applyFont="1" applyAlignment="1">
      <alignment horizontal="right" vertical="top"/>
    </xf>
    <xf numFmtId="0" fontId="7" fillId="0" borderId="8" xfId="0" applyFont="1" applyBorder="1" applyAlignment="1">
      <alignment horizontal="left"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right" vertical="center"/>
    </xf>
    <xf numFmtId="169" fontId="7" fillId="0" borderId="3" xfId="0" applyNumberFormat="1" applyFont="1" applyBorder="1" applyAlignment="1">
      <alignment horizontal="center" vertical="top"/>
    </xf>
    <xf numFmtId="0" fontId="7" fillId="0" borderId="3" xfId="0" applyFont="1" applyBorder="1" applyAlignment="1">
      <alignment horizontal="center" vertical="top"/>
    </xf>
    <xf numFmtId="0" fontId="4" fillId="0" borderId="3" xfId="0" applyFont="1" applyBorder="1" applyAlignment="1"/>
    <xf numFmtId="0" fontId="7" fillId="0" borderId="1" xfId="0" applyFont="1" applyBorder="1" applyAlignment="1">
      <alignment horizontal="center" vertical="center"/>
    </xf>
    <xf numFmtId="0" fontId="7" fillId="0" borderId="0" xfId="0" applyFont="1" applyBorder="1" applyAlignment="1">
      <alignment horizontal="center"/>
    </xf>
    <xf numFmtId="0" fontId="7" fillId="0" borderId="8" xfId="0" applyFont="1" applyBorder="1" applyAlignment="1">
      <alignment horizontal="left"/>
    </xf>
    <xf numFmtId="0" fontId="7" fillId="0" borderId="6" xfId="0" applyFont="1" applyBorder="1" applyAlignment="1">
      <alignment horizontal="left"/>
    </xf>
    <xf numFmtId="0" fontId="7" fillId="0" borderId="27" xfId="0" applyFont="1" applyBorder="1" applyAlignment="1">
      <alignment horizontal="left" indent="1"/>
    </xf>
    <xf numFmtId="14" fontId="7" fillId="5" borderId="14" xfId="0" applyNumberFormat="1" applyFont="1" applyFill="1" applyBorder="1" applyAlignment="1">
      <alignment horizontal="center"/>
    </xf>
    <xf numFmtId="14" fontId="7" fillId="5" borderId="21" xfId="0" applyNumberFormat="1" applyFont="1" applyFill="1" applyBorder="1" applyAlignment="1">
      <alignment horizontal="center"/>
    </xf>
    <xf numFmtId="0" fontId="7" fillId="0" borderId="5" xfId="0" applyFont="1" applyBorder="1" applyAlignment="1">
      <alignment horizontal="left"/>
    </xf>
    <xf numFmtId="0" fontId="7" fillId="0" borderId="0" xfId="0" applyFont="1" applyBorder="1" applyAlignment="1">
      <alignment horizontal="left"/>
    </xf>
    <xf numFmtId="0" fontId="7" fillId="0" borderId="25" xfId="0" applyFont="1" applyBorder="1" applyAlignment="1">
      <alignment horizontal="left" indent="1"/>
    </xf>
    <xf numFmtId="14" fontId="7" fillId="5" borderId="26" xfId="0" applyNumberFormat="1" applyFont="1" applyFill="1" applyBorder="1" applyAlignment="1">
      <alignment horizontal="center"/>
    </xf>
    <xf numFmtId="14" fontId="7" fillId="5" borderId="18" xfId="0" applyNumberFormat="1" applyFont="1" applyFill="1" applyBorder="1" applyAlignment="1">
      <alignment horizontal="center"/>
    </xf>
    <xf numFmtId="0" fontId="7" fillId="0" borderId="15" xfId="0" applyFont="1" applyBorder="1" applyAlignment="1"/>
    <xf numFmtId="0" fontId="4" fillId="0" borderId="16" xfId="0" applyFont="1" applyBorder="1" applyAlignment="1"/>
    <xf numFmtId="0" fontId="7" fillId="0" borderId="13" xfId="0" applyFont="1" applyBorder="1" applyAlignment="1">
      <alignment horizontal="center"/>
    </xf>
    <xf numFmtId="0" fontId="7" fillId="0" borderId="17" xfId="0" applyFont="1" applyBorder="1" applyAlignment="1">
      <alignment horizontal="center"/>
    </xf>
    <xf numFmtId="165" fontId="7" fillId="0" borderId="9" xfId="0" applyNumberFormat="1" applyFont="1" applyBorder="1" applyAlignment="1">
      <alignment horizontal="right"/>
    </xf>
    <xf numFmtId="165" fontId="7" fillId="0" borderId="41" xfId="0" applyNumberFormat="1" applyFont="1" applyBorder="1" applyAlignment="1">
      <alignment horizontal="right"/>
    </xf>
    <xf numFmtId="165" fontId="7" fillId="0" borderId="13" xfId="0" applyNumberFormat="1" applyFont="1" applyBorder="1" applyAlignment="1">
      <alignment horizontal="right"/>
    </xf>
    <xf numFmtId="165" fontId="7" fillId="0" borderId="40" xfId="0" applyNumberFormat="1" applyFont="1" applyBorder="1" applyAlignment="1">
      <alignment horizontal="right"/>
    </xf>
    <xf numFmtId="165" fontId="7" fillId="0" borderId="29" xfId="0" applyNumberFormat="1" applyFont="1" applyBorder="1" applyAlignment="1">
      <alignment horizontal="right"/>
    </xf>
    <xf numFmtId="165" fontId="7" fillId="0" borderId="1" xfId="0" applyNumberFormat="1" applyFont="1" applyBorder="1" applyAlignment="1">
      <alignment horizontal="right"/>
    </xf>
    <xf numFmtId="0" fontId="7" fillId="0" borderId="0" xfId="0" applyFont="1" applyAlignment="1">
      <alignment vertical="center"/>
    </xf>
    <xf numFmtId="0" fontId="7" fillId="8" borderId="38" xfId="0" applyFont="1" applyFill="1" applyBorder="1" applyAlignment="1">
      <alignment horizontal="left" vertical="center" indent="1"/>
    </xf>
    <xf numFmtId="0" fontId="7" fillId="8" borderId="20" xfId="0" applyFont="1" applyFill="1" applyBorder="1" applyAlignment="1">
      <alignment vertical="center"/>
    </xf>
    <xf numFmtId="0" fontId="7" fillId="8" borderId="39" xfId="0" applyFont="1" applyFill="1" applyBorder="1" applyAlignment="1">
      <alignment vertical="center"/>
    </xf>
    <xf numFmtId="0" fontId="58" fillId="0" borderId="0" xfId="0" applyFont="1" applyAlignment="1"/>
    <xf numFmtId="0" fontId="13" fillId="0" borderId="0" xfId="0" applyFont="1" applyFill="1" applyAlignment="1">
      <alignment horizontal="center"/>
    </xf>
    <xf numFmtId="10" fontId="47" fillId="0" borderId="0" xfId="0" applyNumberFormat="1" applyFont="1" applyFill="1" applyAlignment="1">
      <alignment horizontal="center"/>
    </xf>
    <xf numFmtId="10" fontId="40" fillId="0" borderId="20" xfId="0" applyNumberFormat="1" applyFont="1" applyFill="1" applyBorder="1" applyAlignment="1">
      <alignment horizontal="center"/>
    </xf>
    <xf numFmtId="10" fontId="26" fillId="0" borderId="23" xfId="0" applyNumberFormat="1" applyFont="1" applyFill="1" applyBorder="1" applyAlignment="1">
      <alignment horizontal="center"/>
    </xf>
    <xf numFmtId="10" fontId="30" fillId="0" borderId="0" xfId="2" applyNumberFormat="1" applyFont="1" applyFill="1" applyAlignment="1">
      <alignment horizontal="center"/>
    </xf>
    <xf numFmtId="0" fontId="13" fillId="0" borderId="0" xfId="0" applyFont="1" applyFill="1" applyAlignment="1">
      <alignment horizontal="left"/>
    </xf>
    <xf numFmtId="6" fontId="4" fillId="2" borderId="25" xfId="3" applyNumberFormat="1" applyFont="1" applyFill="1" applyBorder="1"/>
    <xf numFmtId="6" fontId="4" fillId="2" borderId="30" xfId="3" applyNumberFormat="1" applyFont="1" applyFill="1" applyBorder="1"/>
    <xf numFmtId="170" fontId="51" fillId="2" borderId="20" xfId="1" applyNumberFormat="1" applyFont="1" applyFill="1" applyBorder="1" applyAlignment="1">
      <alignment vertical="top"/>
    </xf>
    <xf numFmtId="0" fontId="81" fillId="0" borderId="0" xfId="0" applyFont="1" applyFill="1" applyAlignment="1">
      <alignment horizontal="center"/>
    </xf>
    <xf numFmtId="0" fontId="17" fillId="0" borderId="0" xfId="3" applyFont="1" applyAlignment="1">
      <alignment vertical="top" wrapText="1"/>
    </xf>
    <xf numFmtId="0" fontId="10" fillId="0" borderId="0" xfId="3" applyFont="1" applyBorder="1" applyAlignment="1">
      <alignment horizontal="center" vertical="center" wrapText="1"/>
    </xf>
    <xf numFmtId="0" fontId="10" fillId="0" borderId="16" xfId="3" applyFont="1" applyBorder="1" applyAlignment="1">
      <alignment horizontal="center" vertical="center" wrapText="1"/>
    </xf>
    <xf numFmtId="0" fontId="83" fillId="0" borderId="0" xfId="0" applyFont="1"/>
    <xf numFmtId="0" fontId="84" fillId="0" borderId="0" xfId="0" applyFont="1" applyAlignment="1">
      <alignment horizontal="right"/>
    </xf>
    <xf numFmtId="9" fontId="84" fillId="0" borderId="0" xfId="0" applyNumberFormat="1" applyFont="1" applyAlignment="1">
      <alignment horizontal="left" indent="1"/>
    </xf>
    <xf numFmtId="0" fontId="85" fillId="0" borderId="0" xfId="0" applyFont="1" applyAlignment="1">
      <alignment horizontal="left" indent="1"/>
    </xf>
    <xf numFmtId="9" fontId="85" fillId="0" borderId="0" xfId="0" applyNumberFormat="1" applyFont="1" applyAlignment="1">
      <alignment horizontal="left"/>
    </xf>
    <xf numFmtId="9" fontId="86" fillId="0" borderId="0" xfId="0" applyNumberFormat="1" applyFont="1" applyFill="1" applyAlignment="1">
      <alignment horizontal="right" vertical="top"/>
    </xf>
    <xf numFmtId="6" fontId="86" fillId="0" borderId="0" xfId="0" applyNumberFormat="1" applyFont="1" applyFill="1" applyAlignment="1">
      <alignment vertical="top"/>
    </xf>
    <xf numFmtId="10" fontId="86" fillId="0" borderId="0" xfId="0" applyNumberFormat="1" applyFont="1" applyFill="1" applyAlignment="1">
      <alignment horizontal="center" vertical="top"/>
    </xf>
    <xf numFmtId="10" fontId="86" fillId="0" borderId="0" xfId="0" applyNumberFormat="1" applyFont="1" applyFill="1" applyAlignment="1">
      <alignment vertical="top"/>
    </xf>
    <xf numFmtId="9" fontId="86" fillId="0" borderId="20" xfId="0" applyNumberFormat="1" applyFont="1" applyFill="1" applyBorder="1" applyAlignment="1">
      <alignment horizontal="right" vertical="top"/>
    </xf>
    <xf numFmtId="165" fontId="25" fillId="0" borderId="0" xfId="0" applyNumberFormat="1" applyFont="1" applyAlignment="1"/>
    <xf numFmtId="0" fontId="58" fillId="0" borderId="0" xfId="0" applyFont="1" applyBorder="1" applyAlignment="1">
      <alignment vertical="top"/>
    </xf>
    <xf numFmtId="0" fontId="57" fillId="0" borderId="0" xfId="0" applyFont="1" applyBorder="1" applyAlignment="1">
      <alignment vertical="top"/>
    </xf>
    <xf numFmtId="165" fontId="42" fillId="9" borderId="29" xfId="0" applyNumberFormat="1" applyFont="1" applyFill="1" applyBorder="1" applyAlignment="1">
      <alignment vertical="center"/>
    </xf>
    <xf numFmtId="165" fontId="42" fillId="9" borderId="12" xfId="0" applyNumberFormat="1" applyFont="1" applyFill="1" applyBorder="1" applyAlignment="1">
      <alignment horizontal="right"/>
    </xf>
    <xf numFmtId="165" fontId="42" fillId="9" borderId="36" xfId="0" applyNumberFormat="1" applyFont="1" applyFill="1" applyBorder="1" applyAlignment="1">
      <alignment vertical="center"/>
    </xf>
    <xf numFmtId="165" fontId="42" fillId="0" borderId="42" xfId="0" applyNumberFormat="1" applyFont="1" applyBorder="1" applyAlignment="1">
      <alignment horizontal="right" vertical="center"/>
    </xf>
    <xf numFmtId="165" fontId="88" fillId="0" borderId="0" xfId="0" applyNumberFormat="1" applyFont="1"/>
    <xf numFmtId="165" fontId="89" fillId="0" borderId="0" xfId="0" applyNumberFormat="1" applyFont="1"/>
    <xf numFmtId="165" fontId="90" fillId="0" borderId="0" xfId="0" applyNumberFormat="1" applyFont="1"/>
    <xf numFmtId="0" fontId="91" fillId="0" borderId="0" xfId="0" applyFont="1" applyAlignment="1">
      <alignment horizontal="right" vertical="top"/>
    </xf>
    <xf numFmtId="165" fontId="87" fillId="0" borderId="0" xfId="0" applyNumberFormat="1" applyFont="1" applyBorder="1"/>
    <xf numFmtId="10" fontId="30" fillId="0" borderId="0" xfId="2" applyNumberFormat="1" applyFont="1" applyFill="1" applyAlignment="1">
      <alignment horizontal="center" vertical="top"/>
    </xf>
    <xf numFmtId="165" fontId="30" fillId="0" borderId="0" xfId="0" applyNumberFormat="1" applyFont="1" applyFill="1" applyAlignment="1">
      <alignment vertical="top"/>
    </xf>
    <xf numFmtId="0" fontId="42" fillId="0" borderId="4" xfId="0" applyFont="1" applyBorder="1" applyAlignment="1">
      <alignment vertical="center" wrapText="1"/>
    </xf>
    <xf numFmtId="0" fontId="41" fillId="0" borderId="3" xfId="0" applyFont="1" applyBorder="1" applyAlignment="1">
      <alignment vertical="center" wrapText="1"/>
    </xf>
    <xf numFmtId="0" fontId="41" fillId="0" borderId="28" xfId="0" applyFont="1" applyBorder="1" applyAlignment="1">
      <alignment vertical="center" wrapText="1"/>
    </xf>
    <xf numFmtId="0" fontId="41" fillId="5" borderId="16" xfId="0" applyFont="1" applyFill="1" applyBorder="1" applyAlignment="1">
      <alignment horizontal="left"/>
    </xf>
    <xf numFmtId="0" fontId="0" fillId="0" borderId="16" xfId="0" applyBorder="1" applyAlignment="1">
      <alignment horizontal="left"/>
    </xf>
    <xf numFmtId="0" fontId="47" fillId="0" borderId="0" xfId="0" applyFont="1" applyAlignment="1">
      <alignment horizontal="left" wrapText="1"/>
    </xf>
    <xf numFmtId="0" fontId="12" fillId="0" borderId="0" xfId="0" applyFont="1" applyAlignment="1">
      <alignment vertical="top" wrapText="1"/>
    </xf>
    <xf numFmtId="0" fontId="12" fillId="0" borderId="0" xfId="0" applyFont="1" applyAlignment="1">
      <alignment vertical="top"/>
    </xf>
    <xf numFmtId="0" fontId="4" fillId="5" borderId="16" xfId="0" applyFont="1" applyFill="1" applyBorder="1" applyAlignment="1">
      <alignment horizontal="left"/>
    </xf>
    <xf numFmtId="0" fontId="4" fillId="0" borderId="16" xfId="0" applyFont="1" applyBorder="1" applyAlignment="1">
      <alignment horizontal="left"/>
    </xf>
    <xf numFmtId="0" fontId="7" fillId="0" borderId="15" xfId="0" applyFont="1" applyBorder="1" applyAlignment="1">
      <alignment horizontal="left" wrapText="1"/>
    </xf>
    <xf numFmtId="0" fontId="7" fillId="0" borderId="16" xfId="0" applyFont="1" applyBorder="1" applyAlignment="1">
      <alignment horizontal="left" wrapText="1"/>
    </xf>
    <xf numFmtId="0" fontId="7" fillId="0" borderId="30" xfId="0" applyFont="1" applyBorder="1" applyAlignment="1">
      <alignment horizontal="left" wrapText="1"/>
    </xf>
    <xf numFmtId="0" fontId="7" fillId="0" borderId="19" xfId="0" applyFont="1" applyBorder="1" applyAlignment="1">
      <alignment horizontal="left" wrapText="1"/>
    </xf>
    <xf numFmtId="0" fontId="7" fillId="0" borderId="20" xfId="0" applyFont="1" applyBorder="1" applyAlignment="1">
      <alignment horizontal="left" wrapText="1"/>
    </xf>
    <xf numFmtId="0" fontId="7" fillId="0" borderId="39" xfId="0" applyFont="1" applyBorder="1" applyAlignment="1">
      <alignment horizontal="left" wrapText="1"/>
    </xf>
    <xf numFmtId="0" fontId="7" fillId="0" borderId="4" xfId="0" applyFont="1" applyBorder="1" applyAlignment="1">
      <alignment horizontal="left" wrapText="1"/>
    </xf>
    <xf numFmtId="0" fontId="7" fillId="0" borderId="3" xfId="0" applyFont="1" applyBorder="1" applyAlignment="1">
      <alignment horizontal="left" wrapText="1"/>
    </xf>
    <xf numFmtId="0" fontId="7" fillId="0" borderId="28" xfId="0" applyFont="1" applyBorder="1" applyAlignment="1">
      <alignment horizontal="left" wrapText="1"/>
    </xf>
    <xf numFmtId="0" fontId="79" fillId="0" borderId="6" xfId="0" applyFont="1" applyBorder="1" applyAlignment="1">
      <alignment horizontal="center" wrapText="1"/>
    </xf>
    <xf numFmtId="0" fontId="7" fillId="8" borderId="38" xfId="0" applyFont="1" applyFill="1" applyBorder="1" applyAlignment="1">
      <alignment horizontal="center" vertical="center"/>
    </xf>
    <xf numFmtId="0" fontId="7" fillId="8" borderId="39" xfId="0" applyFont="1" applyFill="1" applyBorder="1" applyAlignment="1">
      <alignment horizontal="center" vertical="center"/>
    </xf>
    <xf numFmtId="5" fontId="4" fillId="0" borderId="38" xfId="0" applyNumberFormat="1" applyFont="1" applyBorder="1" applyAlignment="1">
      <alignment horizontal="center"/>
    </xf>
    <xf numFmtId="5" fontId="4" fillId="0" borderId="39" xfId="0" applyNumberFormat="1" applyFont="1" applyBorder="1" applyAlignment="1">
      <alignment horizontal="center"/>
    </xf>
    <xf numFmtId="0" fontId="19" fillId="0" borderId="38" xfId="0" applyFont="1" applyBorder="1" applyAlignment="1">
      <alignment horizontal="left" indent="1"/>
    </xf>
    <xf numFmtId="0" fontId="19" fillId="0" borderId="20" xfId="0" applyFont="1" applyBorder="1" applyAlignment="1">
      <alignment horizontal="left" indent="1"/>
    </xf>
    <xf numFmtId="0" fontId="19" fillId="0" borderId="39" xfId="0" applyFont="1" applyBorder="1" applyAlignment="1">
      <alignment horizontal="left" indent="1"/>
    </xf>
    <xf numFmtId="0" fontId="42" fillId="2" borderId="0" xfId="0" applyFont="1" applyFill="1" applyAlignment="1">
      <alignment horizontal="center"/>
    </xf>
    <xf numFmtId="0" fontId="14" fillId="0" borderId="0" xfId="0" applyFont="1" applyAlignment="1">
      <alignment horizontal="left" vertical="top" wrapText="1"/>
    </xf>
    <xf numFmtId="0" fontId="4" fillId="0" borderId="0" xfId="0" applyFont="1" applyAlignment="1">
      <alignment horizontal="left" wrapText="1"/>
    </xf>
    <xf numFmtId="0" fontId="4" fillId="0" borderId="16" xfId="0" applyFont="1" applyBorder="1" applyAlignment="1">
      <alignment horizontal="left" wrapText="1"/>
    </xf>
    <xf numFmtId="0" fontId="7" fillId="2" borderId="0" xfId="0" applyFont="1" applyFill="1" applyAlignment="1">
      <alignment horizontal="center"/>
    </xf>
    <xf numFmtId="0" fontId="11" fillId="2" borderId="0" xfId="0" applyFont="1" applyFill="1" applyAlignment="1">
      <alignment horizontal="left" wrapText="1"/>
    </xf>
    <xf numFmtId="0" fontId="17" fillId="0" borderId="0" xfId="3" applyFont="1" applyAlignment="1">
      <alignment horizontal="left" vertical="top" wrapText="1"/>
    </xf>
    <xf numFmtId="0" fontId="82" fillId="0" borderId="0" xfId="3" applyFont="1" applyAlignment="1">
      <alignment horizontal="left" vertical="top" wrapText="1"/>
    </xf>
  </cellXfs>
  <cellStyles count="8">
    <cellStyle name="Comma" xfId="1" builtinId="3"/>
    <cellStyle name="Followed Hyperlink" xfId="5" builtinId="9" hidden="1"/>
    <cellStyle name="Followed Hyperlink" xfId="7" builtinId="9" hidden="1"/>
    <cellStyle name="Hyperlink" xfId="4" builtinId="8" hidden="1"/>
    <cellStyle name="Hyperlink" xfId="6" builtinId="8" hidden="1"/>
    <cellStyle name="Normal" xfId="0" builtinId="0"/>
    <cellStyle name="Normal 2" xfId="3"/>
    <cellStyle name="Percent" xfId="2" builtinId="5"/>
  </cellStyles>
  <dxfs count="5">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s>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400050</xdr:colOff>
      <xdr:row>4</xdr:row>
      <xdr:rowOff>104775</xdr:rowOff>
    </xdr:from>
    <xdr:to>
      <xdr:col>7</xdr:col>
      <xdr:colOff>180975</xdr:colOff>
      <xdr:row>6</xdr:row>
      <xdr:rowOff>133350</xdr:rowOff>
    </xdr:to>
    <xdr:sp macro="" textlink="">
      <xdr:nvSpPr>
        <xdr:cNvPr id="2" name="TextBox 1"/>
        <xdr:cNvSpPr txBox="1"/>
      </xdr:nvSpPr>
      <xdr:spPr>
        <a:xfrm>
          <a:off x="3876675" y="790575"/>
          <a:ext cx="257175" cy="476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1">
              <a:solidFill>
                <a:schemeClr val="accent2">
                  <a:lumMod val="75000"/>
                </a:schemeClr>
              </a:solidFill>
            </a:rPr>
            <a:t>OR</a:t>
          </a:r>
        </a:p>
      </xdr:txBody>
    </xdr:sp>
    <xdr:clientData/>
  </xdr:twoCellAnchor>
  <xdr:twoCellAnchor>
    <xdr:from>
      <xdr:col>6</xdr:col>
      <xdr:colOff>400050</xdr:colOff>
      <xdr:row>17</xdr:row>
      <xdr:rowOff>104775</xdr:rowOff>
    </xdr:from>
    <xdr:to>
      <xdr:col>7</xdr:col>
      <xdr:colOff>180975</xdr:colOff>
      <xdr:row>19</xdr:row>
      <xdr:rowOff>133350</xdr:rowOff>
    </xdr:to>
    <xdr:sp macro="" textlink="">
      <xdr:nvSpPr>
        <xdr:cNvPr id="4" name="TextBox 3"/>
        <xdr:cNvSpPr txBox="1"/>
      </xdr:nvSpPr>
      <xdr:spPr>
        <a:xfrm>
          <a:off x="3876675" y="790575"/>
          <a:ext cx="257175" cy="476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1">
              <a:solidFill>
                <a:schemeClr val="accent2">
                  <a:lumMod val="75000"/>
                </a:schemeClr>
              </a:solidFill>
            </a:rPr>
            <a:t>OR</a:t>
          </a:r>
        </a:p>
      </xdr:txBody>
    </xdr:sp>
    <xdr:clientData/>
  </xdr:twoCellAnchor>
  <xdr:twoCellAnchor>
    <xdr:from>
      <xdr:col>6</xdr:col>
      <xdr:colOff>400050</xdr:colOff>
      <xdr:row>30</xdr:row>
      <xdr:rowOff>104775</xdr:rowOff>
    </xdr:from>
    <xdr:to>
      <xdr:col>7</xdr:col>
      <xdr:colOff>180975</xdr:colOff>
      <xdr:row>32</xdr:row>
      <xdr:rowOff>133350</xdr:rowOff>
    </xdr:to>
    <xdr:sp macro="" textlink="">
      <xdr:nvSpPr>
        <xdr:cNvPr id="5" name="TextBox 4"/>
        <xdr:cNvSpPr txBox="1"/>
      </xdr:nvSpPr>
      <xdr:spPr>
        <a:xfrm>
          <a:off x="3876675" y="790575"/>
          <a:ext cx="257175" cy="476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1">
              <a:solidFill>
                <a:schemeClr val="accent2">
                  <a:lumMod val="75000"/>
                </a:schemeClr>
              </a:solidFill>
            </a:rPr>
            <a:t>OR</a:t>
          </a:r>
        </a:p>
      </xdr:txBody>
    </xdr:sp>
    <xdr:clientData/>
  </xdr:twoCellAnchor>
  <xdr:twoCellAnchor>
    <xdr:from>
      <xdr:col>6</xdr:col>
      <xdr:colOff>400050</xdr:colOff>
      <xdr:row>43</xdr:row>
      <xdr:rowOff>104775</xdr:rowOff>
    </xdr:from>
    <xdr:to>
      <xdr:col>7</xdr:col>
      <xdr:colOff>180975</xdr:colOff>
      <xdr:row>45</xdr:row>
      <xdr:rowOff>133350</xdr:rowOff>
    </xdr:to>
    <xdr:sp macro="" textlink="">
      <xdr:nvSpPr>
        <xdr:cNvPr id="6" name="TextBox 5"/>
        <xdr:cNvSpPr txBox="1"/>
      </xdr:nvSpPr>
      <xdr:spPr>
        <a:xfrm>
          <a:off x="3876675" y="790575"/>
          <a:ext cx="257175" cy="476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1">
              <a:solidFill>
                <a:schemeClr val="accent2">
                  <a:lumMod val="75000"/>
                </a:schemeClr>
              </a:solidFill>
            </a:rPr>
            <a:t>OR</a:t>
          </a:r>
        </a:p>
      </xdr:txBody>
    </xdr:sp>
    <xdr:clientData/>
  </xdr:twoCellAnchor>
  <xdr:twoCellAnchor>
    <xdr:from>
      <xdr:col>6</xdr:col>
      <xdr:colOff>400050</xdr:colOff>
      <xdr:row>56</xdr:row>
      <xdr:rowOff>104775</xdr:rowOff>
    </xdr:from>
    <xdr:to>
      <xdr:col>7</xdr:col>
      <xdr:colOff>180975</xdr:colOff>
      <xdr:row>58</xdr:row>
      <xdr:rowOff>133350</xdr:rowOff>
    </xdr:to>
    <xdr:sp macro="" textlink="">
      <xdr:nvSpPr>
        <xdr:cNvPr id="7" name="TextBox 6"/>
        <xdr:cNvSpPr txBox="1"/>
      </xdr:nvSpPr>
      <xdr:spPr>
        <a:xfrm>
          <a:off x="3876675" y="790575"/>
          <a:ext cx="257175" cy="476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1">
              <a:solidFill>
                <a:schemeClr val="accent2">
                  <a:lumMod val="75000"/>
                </a:schemeClr>
              </a:solidFill>
            </a:rPr>
            <a: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48"/>
  <sheetViews>
    <sheetView tabSelected="1" topLeftCell="A20" workbookViewId="0">
      <selection activeCell="A35" sqref="A35"/>
    </sheetView>
  </sheetViews>
  <sheetFormatPr defaultColWidth="11" defaultRowHeight="12.75" x14ac:dyDescent="0.2"/>
  <cols>
    <col min="1" max="1" width="4.125" style="129" customWidth="1"/>
    <col min="2" max="2" width="18" style="129" customWidth="1"/>
    <col min="3" max="3" width="7.375" style="129" customWidth="1"/>
    <col min="4" max="8" width="10.75" style="129" customWidth="1"/>
    <col min="9" max="9" width="1.875" style="107" customWidth="1"/>
    <col min="10" max="10" width="11" style="108"/>
    <col min="11" max="11" width="11" style="107"/>
    <col min="12" max="16" width="8.625" style="107" customWidth="1"/>
    <col min="17" max="16384" width="11" style="107"/>
  </cols>
  <sheetData>
    <row r="1" spans="1:16" ht="8.1" customHeight="1" x14ac:dyDescent="0.2"/>
    <row r="2" spans="1:16" ht="12.95" customHeight="1" x14ac:dyDescent="0.25">
      <c r="A2" s="225" t="s">
        <v>250</v>
      </c>
      <c r="B2" s="130"/>
      <c r="C2" s="130"/>
      <c r="D2" s="382" t="s">
        <v>255</v>
      </c>
      <c r="E2" s="383"/>
      <c r="F2" s="383"/>
      <c r="G2" s="383"/>
      <c r="H2" s="224" t="s">
        <v>69</v>
      </c>
    </row>
    <row r="3" spans="1:16" ht="13.5" thickBot="1" x14ac:dyDescent="0.25">
      <c r="A3" s="177"/>
      <c r="B3" s="177"/>
      <c r="C3" s="177"/>
      <c r="D3" s="177"/>
      <c r="E3" s="177"/>
      <c r="F3" s="177"/>
      <c r="G3" s="177"/>
      <c r="H3" s="177"/>
    </row>
    <row r="4" spans="1:16" ht="21" customHeight="1" x14ac:dyDescent="0.2">
      <c r="A4" s="184"/>
      <c r="B4" s="185"/>
      <c r="C4" s="185"/>
      <c r="D4" s="191"/>
      <c r="E4" s="191" t="s">
        <v>193</v>
      </c>
      <c r="F4" s="191"/>
      <c r="G4" s="185"/>
      <c r="H4" s="186"/>
    </row>
    <row r="5" spans="1:16" ht="20.100000000000001" customHeight="1" thickBot="1" x14ac:dyDescent="0.25">
      <c r="A5" s="187"/>
      <c r="B5" s="188"/>
      <c r="C5" s="189"/>
      <c r="D5" s="219">
        <v>40724</v>
      </c>
      <c r="E5" s="192" t="s">
        <v>58</v>
      </c>
      <c r="F5" s="219">
        <v>41819</v>
      </c>
      <c r="G5" s="131"/>
      <c r="H5" s="190"/>
    </row>
    <row r="6" spans="1:16" ht="13.5" thickBot="1" x14ac:dyDescent="0.25">
      <c r="A6" s="132"/>
      <c r="B6" s="132"/>
      <c r="C6" s="132"/>
      <c r="D6" s="132"/>
      <c r="E6" s="132"/>
      <c r="F6" s="132"/>
      <c r="G6" s="132"/>
      <c r="H6" s="132"/>
    </row>
    <row r="7" spans="1:16" x14ac:dyDescent="0.2">
      <c r="A7" s="208"/>
      <c r="B7" s="209"/>
      <c r="C7" s="215" t="s">
        <v>131</v>
      </c>
      <c r="D7" s="217">
        <f>D5</f>
        <v>40724</v>
      </c>
      <c r="E7" s="217">
        <f>D8+1</f>
        <v>41090</v>
      </c>
      <c r="F7" s="217">
        <f>E8+1</f>
        <v>41455</v>
      </c>
      <c r="G7" s="217"/>
      <c r="H7" s="220"/>
    </row>
    <row r="8" spans="1:16" x14ac:dyDescent="0.2">
      <c r="A8" s="211"/>
      <c r="B8" s="212"/>
      <c r="C8" s="216" t="s">
        <v>132</v>
      </c>
      <c r="D8" s="218">
        <f>D7+365</f>
        <v>41089</v>
      </c>
      <c r="E8" s="218">
        <f>D8+365</f>
        <v>41454</v>
      </c>
      <c r="F8" s="218">
        <f>E8+365</f>
        <v>41819</v>
      </c>
      <c r="G8" s="218"/>
      <c r="H8" s="221"/>
    </row>
    <row r="9" spans="1:16" x14ac:dyDescent="0.2">
      <c r="A9" s="210" t="s">
        <v>186</v>
      </c>
      <c r="B9" s="195"/>
      <c r="C9" s="195"/>
      <c r="D9" s="213" t="s">
        <v>187</v>
      </c>
      <c r="E9" s="213" t="s">
        <v>188</v>
      </c>
      <c r="F9" s="213" t="s">
        <v>189</v>
      </c>
      <c r="G9" s="213" t="str">
        <f>IF(G8="","","Year 4")</f>
        <v/>
      </c>
      <c r="H9" s="214" t="s">
        <v>5</v>
      </c>
      <c r="J9" s="109" t="s">
        <v>77</v>
      </c>
    </row>
    <row r="10" spans="1:16" ht="20.100000000000001" customHeight="1" x14ac:dyDescent="0.2">
      <c r="A10" s="133" t="s">
        <v>129</v>
      </c>
      <c r="B10" s="134"/>
      <c r="C10" s="134"/>
      <c r="D10" s="110">
        <f>Personnel!O20</f>
        <v>343944</v>
      </c>
      <c r="E10" s="110">
        <f>Personnel!O38</f>
        <v>318764</v>
      </c>
      <c r="F10" s="110">
        <f>Personnel!O56</f>
        <v>171821</v>
      </c>
      <c r="G10" s="110">
        <f>Personnel!O74</f>
        <v>0</v>
      </c>
      <c r="H10" s="111">
        <f>SUM(D10:G10)</f>
        <v>834529</v>
      </c>
      <c r="J10" s="112">
        <f>SUM(D10:G10)</f>
        <v>834529</v>
      </c>
    </row>
    <row r="11" spans="1:16" ht="20.100000000000001" customHeight="1" x14ac:dyDescent="0.2">
      <c r="A11" s="133" t="s">
        <v>181</v>
      </c>
      <c r="B11" s="134"/>
      <c r="C11" s="134"/>
      <c r="D11" s="110">
        <f>Travel!O15</f>
        <v>39384</v>
      </c>
      <c r="E11" s="110">
        <f>Travel!O28</f>
        <v>39384</v>
      </c>
      <c r="F11" s="110">
        <f>Travel!O41</f>
        <v>19692</v>
      </c>
      <c r="G11" s="110">
        <f>Travel!O54</f>
        <v>0</v>
      </c>
      <c r="H11" s="111">
        <f t="shared" ref="H11:H22" si="0">SUM(D11:G11)</f>
        <v>98460</v>
      </c>
      <c r="J11" s="112">
        <f t="shared" ref="J11:J22" si="1">SUM(D11:G11)</f>
        <v>98460</v>
      </c>
    </row>
    <row r="12" spans="1:16" ht="20.100000000000001" customHeight="1" x14ac:dyDescent="0.2">
      <c r="A12" s="133" t="s">
        <v>182</v>
      </c>
      <c r="B12" s="134"/>
      <c r="C12" s="134"/>
      <c r="D12" s="110">
        <f>'M&amp;S'!F12</f>
        <v>7500</v>
      </c>
      <c r="E12" s="110">
        <f>'M&amp;S'!F22</f>
        <v>7875</v>
      </c>
      <c r="F12" s="110">
        <f>'M&amp;S'!F32</f>
        <v>4134.375</v>
      </c>
      <c r="G12" s="110">
        <f>'M&amp;S'!F42</f>
        <v>0</v>
      </c>
      <c r="H12" s="111">
        <f t="shared" si="0"/>
        <v>19509.375</v>
      </c>
      <c r="J12" s="112">
        <f t="shared" si="1"/>
        <v>19509.375</v>
      </c>
    </row>
    <row r="13" spans="1:16" ht="20.100000000000001" customHeight="1" x14ac:dyDescent="0.2">
      <c r="A13" s="133" t="s">
        <v>180</v>
      </c>
      <c r="B13" s="134"/>
      <c r="C13" s="134"/>
      <c r="D13" s="110">
        <f>Equip!F12</f>
        <v>12000</v>
      </c>
      <c r="E13" s="110">
        <f>Equip!F22</f>
        <v>0</v>
      </c>
      <c r="F13" s="110">
        <f>Equip!F32</f>
        <v>0</v>
      </c>
      <c r="G13" s="110">
        <f>Equip!F42</f>
        <v>0</v>
      </c>
      <c r="H13" s="111">
        <f t="shared" si="0"/>
        <v>12000</v>
      </c>
      <c r="J13" s="112">
        <f t="shared" si="1"/>
        <v>12000</v>
      </c>
    </row>
    <row r="14" spans="1:16" ht="20.100000000000001" customHeight="1" x14ac:dyDescent="0.2">
      <c r="A14" s="133" t="s">
        <v>240</v>
      </c>
      <c r="B14" s="134"/>
      <c r="C14" s="134"/>
      <c r="D14" s="110">
        <f>Consultant!F12</f>
        <v>52850</v>
      </c>
      <c r="E14" s="110">
        <f>Consultant!F22</f>
        <v>52850</v>
      </c>
      <c r="F14" s="110">
        <f>Consultant!F32</f>
        <v>36050</v>
      </c>
      <c r="G14" s="110">
        <f>Consultant!F42</f>
        <v>0</v>
      </c>
      <c r="H14" s="111">
        <f t="shared" si="0"/>
        <v>141750</v>
      </c>
      <c r="J14" s="112">
        <f t="shared" si="1"/>
        <v>141750</v>
      </c>
    </row>
    <row r="15" spans="1:16" ht="20.100000000000001" customHeight="1" x14ac:dyDescent="0.2">
      <c r="A15" s="133" t="s">
        <v>241</v>
      </c>
      <c r="B15" s="135"/>
      <c r="C15" s="135"/>
      <c r="D15" s="110">
        <f>Subrecipient!F14</f>
        <v>80000</v>
      </c>
      <c r="E15" s="110">
        <f>Subrecipient!G14</f>
        <v>105000</v>
      </c>
      <c r="F15" s="110">
        <f>Subrecipient!H14</f>
        <v>70000</v>
      </c>
      <c r="G15" s="110">
        <f>Subrecipient!I14</f>
        <v>0</v>
      </c>
      <c r="H15" s="111">
        <f t="shared" si="0"/>
        <v>255000</v>
      </c>
      <c r="J15" s="112">
        <f t="shared" si="1"/>
        <v>255000</v>
      </c>
    </row>
    <row r="16" spans="1:16" ht="23.25" customHeight="1" x14ac:dyDescent="0.2">
      <c r="A16" s="133" t="s">
        <v>130</v>
      </c>
      <c r="B16" s="135"/>
      <c r="C16" s="168" t="s">
        <v>49</v>
      </c>
      <c r="D16" s="110"/>
      <c r="E16" s="110"/>
      <c r="F16" s="110"/>
      <c r="G16" s="110"/>
      <c r="H16" s="111"/>
      <c r="J16" s="112"/>
      <c r="L16" s="376" t="s">
        <v>194</v>
      </c>
      <c r="M16" s="160"/>
      <c r="N16" s="160"/>
      <c r="O16" s="160"/>
      <c r="P16" s="160"/>
    </row>
    <row r="17" spans="1:16" ht="20.100000000000001" customHeight="1" x14ac:dyDescent="0.2">
      <c r="A17" s="133"/>
      <c r="B17" s="134" t="str">
        <f>ODCs!A6</f>
        <v>Scholarship</v>
      </c>
      <c r="C17" s="169" t="str">
        <f>ODCs!B6</f>
        <v>N</v>
      </c>
      <c r="D17" s="110">
        <f>ODCs!F6</f>
        <v>200000</v>
      </c>
      <c r="E17" s="110">
        <f>ODCs!F16</f>
        <v>200000</v>
      </c>
      <c r="F17" s="110">
        <f>ODCs!F26</f>
        <v>100000</v>
      </c>
      <c r="G17" s="110">
        <f>ODCs!F36</f>
        <v>0</v>
      </c>
      <c r="H17" s="111">
        <f t="shared" si="0"/>
        <v>500000</v>
      </c>
      <c r="J17" s="112">
        <f t="shared" si="1"/>
        <v>500000</v>
      </c>
      <c r="L17" s="372">
        <f>IF($C17="N",D17,0)</f>
        <v>200000</v>
      </c>
      <c r="M17" s="372">
        <f t="shared" ref="M17:P22" si="2">IF($C17="N",E17,0)</f>
        <v>200000</v>
      </c>
      <c r="N17" s="372">
        <f t="shared" si="2"/>
        <v>100000</v>
      </c>
      <c r="O17" s="372">
        <f t="shared" si="2"/>
        <v>0</v>
      </c>
      <c r="P17" s="372">
        <f>IF($C17="N",H17,0)</f>
        <v>500000</v>
      </c>
    </row>
    <row r="18" spans="1:16" ht="20.100000000000001" customHeight="1" x14ac:dyDescent="0.2">
      <c r="A18" s="133"/>
      <c r="B18" s="134" t="str">
        <f>ODCs!A7</f>
        <v>Server Maintenance</v>
      </c>
      <c r="C18" s="169" t="str">
        <f>ODCs!B7</f>
        <v>Y</v>
      </c>
      <c r="D18" s="110">
        <f>ODCs!F7</f>
        <v>2500</v>
      </c>
      <c r="E18" s="110">
        <f>ODCs!F17</f>
        <v>2625</v>
      </c>
      <c r="F18" s="110">
        <f>ODCs!F27</f>
        <v>2756.25</v>
      </c>
      <c r="G18" s="110">
        <f>ODCs!F37</f>
        <v>0</v>
      </c>
      <c r="H18" s="111">
        <f t="shared" si="0"/>
        <v>7881.25</v>
      </c>
      <c r="J18" s="112">
        <f t="shared" si="1"/>
        <v>7881.25</v>
      </c>
      <c r="L18" s="372">
        <f t="shared" ref="L18:L22" si="3">IF($C18="N",D18,0)</f>
        <v>0</v>
      </c>
      <c r="M18" s="372">
        <f t="shared" si="2"/>
        <v>0</v>
      </c>
      <c r="N18" s="372">
        <f t="shared" si="2"/>
        <v>0</v>
      </c>
      <c r="O18" s="372">
        <f t="shared" si="2"/>
        <v>0</v>
      </c>
      <c r="P18" s="372">
        <f t="shared" si="2"/>
        <v>0</v>
      </c>
    </row>
    <row r="19" spans="1:16" ht="20.100000000000001" customHeight="1" x14ac:dyDescent="0.2">
      <c r="A19" s="133"/>
      <c r="B19" s="134" t="str">
        <f>ODCs!A8</f>
        <v>ODC #3</v>
      </c>
      <c r="C19" s="169" t="str">
        <f>ODCs!B8</f>
        <v>Y</v>
      </c>
      <c r="D19" s="110">
        <f>ODCs!F8</f>
        <v>0</v>
      </c>
      <c r="E19" s="110">
        <f>ODCs!F18</f>
        <v>0</v>
      </c>
      <c r="F19" s="110">
        <f>ODCs!F28</f>
        <v>0</v>
      </c>
      <c r="G19" s="110">
        <f>ODCs!F38</f>
        <v>0</v>
      </c>
      <c r="H19" s="111">
        <f t="shared" si="0"/>
        <v>0</v>
      </c>
      <c r="J19" s="112">
        <f t="shared" si="1"/>
        <v>0</v>
      </c>
      <c r="L19" s="372">
        <f t="shared" si="3"/>
        <v>0</v>
      </c>
      <c r="M19" s="372">
        <f t="shared" si="2"/>
        <v>0</v>
      </c>
      <c r="N19" s="372">
        <f t="shared" si="2"/>
        <v>0</v>
      </c>
      <c r="O19" s="372">
        <f t="shared" si="2"/>
        <v>0</v>
      </c>
      <c r="P19" s="372">
        <f t="shared" si="2"/>
        <v>0</v>
      </c>
    </row>
    <row r="20" spans="1:16" ht="20.100000000000001" customHeight="1" x14ac:dyDescent="0.2">
      <c r="A20" s="133"/>
      <c r="B20" s="134" t="str">
        <f>ODCs!A9</f>
        <v>ODC #4</v>
      </c>
      <c r="C20" s="169" t="str">
        <f>ODCs!B9</f>
        <v>Y</v>
      </c>
      <c r="D20" s="110">
        <f>ODCs!F9</f>
        <v>0</v>
      </c>
      <c r="E20" s="110">
        <f>ODCs!F19</f>
        <v>0</v>
      </c>
      <c r="F20" s="110">
        <f>ODCs!F29</f>
        <v>0</v>
      </c>
      <c r="G20" s="110">
        <f>ODCs!F39</f>
        <v>0</v>
      </c>
      <c r="H20" s="111">
        <f t="shared" si="0"/>
        <v>0</v>
      </c>
      <c r="J20" s="112">
        <f t="shared" si="1"/>
        <v>0</v>
      </c>
      <c r="L20" s="372">
        <f t="shared" si="3"/>
        <v>0</v>
      </c>
      <c r="M20" s="372">
        <f t="shared" si="2"/>
        <v>0</v>
      </c>
      <c r="N20" s="372">
        <f t="shared" si="2"/>
        <v>0</v>
      </c>
      <c r="O20" s="372">
        <f t="shared" si="2"/>
        <v>0</v>
      </c>
      <c r="P20" s="372">
        <f t="shared" si="2"/>
        <v>0</v>
      </c>
    </row>
    <row r="21" spans="1:16" ht="20.100000000000001" customHeight="1" x14ac:dyDescent="0.2">
      <c r="A21" s="133"/>
      <c r="B21" s="134" t="str">
        <f>ODCs!A10</f>
        <v>ODC #5</v>
      </c>
      <c r="C21" s="169" t="str">
        <f>ODCs!B10</f>
        <v>Y</v>
      </c>
      <c r="D21" s="110">
        <f>ODCs!F10</f>
        <v>0</v>
      </c>
      <c r="E21" s="110">
        <f>ODCs!F20</f>
        <v>0</v>
      </c>
      <c r="F21" s="110">
        <f>ODCs!F30</f>
        <v>0</v>
      </c>
      <c r="G21" s="110">
        <f>ODCs!F40</f>
        <v>0</v>
      </c>
      <c r="H21" s="111">
        <f t="shared" si="0"/>
        <v>0</v>
      </c>
      <c r="J21" s="112">
        <f t="shared" si="1"/>
        <v>0</v>
      </c>
      <c r="L21" s="372">
        <f t="shared" si="3"/>
        <v>0</v>
      </c>
      <c r="M21" s="372">
        <f t="shared" si="2"/>
        <v>0</v>
      </c>
      <c r="N21" s="372">
        <f t="shared" si="2"/>
        <v>0</v>
      </c>
      <c r="O21" s="372">
        <f t="shared" si="2"/>
        <v>0</v>
      </c>
      <c r="P21" s="372">
        <f t="shared" si="2"/>
        <v>0</v>
      </c>
    </row>
    <row r="22" spans="1:16" ht="20.100000000000001" customHeight="1" x14ac:dyDescent="0.2">
      <c r="A22" s="133"/>
      <c r="B22" s="134" t="str">
        <f>ODCs!A11</f>
        <v>ODC #6</v>
      </c>
      <c r="C22" s="169" t="str">
        <f>ODCs!B11</f>
        <v>Y</v>
      </c>
      <c r="D22" s="110">
        <f>ODCs!F11</f>
        <v>0</v>
      </c>
      <c r="E22" s="110">
        <f>ODCs!F21</f>
        <v>0</v>
      </c>
      <c r="F22" s="110">
        <f>ODCs!F31</f>
        <v>0</v>
      </c>
      <c r="G22" s="110">
        <f>ODCs!F41</f>
        <v>0</v>
      </c>
      <c r="H22" s="111">
        <f t="shared" si="0"/>
        <v>0</v>
      </c>
      <c r="J22" s="112">
        <f t="shared" si="1"/>
        <v>0</v>
      </c>
      <c r="L22" s="373">
        <f t="shared" si="3"/>
        <v>0</v>
      </c>
      <c r="M22" s="373">
        <f t="shared" si="2"/>
        <v>0</v>
      </c>
      <c r="N22" s="373">
        <f t="shared" si="2"/>
        <v>0</v>
      </c>
      <c r="O22" s="373">
        <f t="shared" si="2"/>
        <v>0</v>
      </c>
      <c r="P22" s="373">
        <f t="shared" si="2"/>
        <v>0</v>
      </c>
    </row>
    <row r="23" spans="1:16" ht="20.100000000000001" customHeight="1" thickBot="1" x14ac:dyDescent="0.25">
      <c r="A23" s="136" t="s">
        <v>125</v>
      </c>
      <c r="B23" s="137"/>
      <c r="C23" s="137"/>
      <c r="D23" s="113">
        <f>SUM(D10:D22)</f>
        <v>738178</v>
      </c>
      <c r="E23" s="113">
        <f>SUM(E10:E22)</f>
        <v>726498</v>
      </c>
      <c r="F23" s="113">
        <f>SUM(F10:F22)</f>
        <v>404453.625</v>
      </c>
      <c r="G23" s="113">
        <f>SUM(G10:G22)</f>
        <v>0</v>
      </c>
      <c r="H23" s="114">
        <f>SUM(D23:G23)</f>
        <v>1869129.625</v>
      </c>
      <c r="J23" s="112">
        <f>SUM(D23:G23)</f>
        <v>1869129.625</v>
      </c>
      <c r="K23" s="112">
        <f>SUM(J10:J22)</f>
        <v>1869129.625</v>
      </c>
      <c r="L23" s="374">
        <f>SUM(L17:L22)</f>
        <v>200000</v>
      </c>
      <c r="M23" s="374">
        <f t="shared" ref="M23:P23" si="4">SUM(M17:M22)</f>
        <v>200000</v>
      </c>
      <c r="N23" s="374">
        <f t="shared" si="4"/>
        <v>100000</v>
      </c>
      <c r="O23" s="374">
        <f t="shared" si="4"/>
        <v>0</v>
      </c>
      <c r="P23" s="374">
        <f t="shared" si="4"/>
        <v>500000</v>
      </c>
    </row>
    <row r="24" spans="1:16" ht="15" customHeight="1" x14ac:dyDescent="0.2">
      <c r="A24" s="138" t="s">
        <v>55</v>
      </c>
      <c r="B24" s="139"/>
      <c r="C24" s="115"/>
      <c r="D24" s="116" t="s">
        <v>6</v>
      </c>
      <c r="E24" s="116" t="s">
        <v>6</v>
      </c>
      <c r="F24" s="116" t="s">
        <v>6</v>
      </c>
      <c r="G24" s="116" t="s">
        <v>6</v>
      </c>
      <c r="H24" s="117" t="s">
        <v>6</v>
      </c>
      <c r="K24" s="112">
        <f>K23-J23</f>
        <v>0</v>
      </c>
      <c r="L24" s="375" t="s">
        <v>195</v>
      </c>
      <c r="M24" s="375" t="s">
        <v>196</v>
      </c>
      <c r="N24" s="375" t="s">
        <v>197</v>
      </c>
      <c r="O24" s="375" t="s">
        <v>198</v>
      </c>
      <c r="P24" s="375" t="s">
        <v>5</v>
      </c>
    </row>
    <row r="25" spans="1:16" ht="15.75" customHeight="1" x14ac:dyDescent="0.2">
      <c r="A25" s="176"/>
      <c r="B25" s="181"/>
      <c r="C25" s="180" t="s">
        <v>56</v>
      </c>
      <c r="D25" s="178"/>
      <c r="E25" s="178"/>
      <c r="F25" s="178"/>
      <c r="G25" s="178"/>
      <c r="H25" s="179"/>
    </row>
    <row r="26" spans="1:16" s="118" customFormat="1" ht="15.75" customHeight="1" x14ac:dyDescent="0.2">
      <c r="A26" s="140"/>
      <c r="B26" s="182" t="s">
        <v>35</v>
      </c>
      <c r="C26" s="290" t="s">
        <v>159</v>
      </c>
      <c r="D26" s="282">
        <f>Personnel!P20+Travel!P15+'M&amp;S'!G12+Equip!G12+Consultant!G12+Subrecipient!K14+ODCs!G12</f>
        <v>444178</v>
      </c>
      <c r="E26" s="282">
        <f>Personnel!P38+Travel!P28+'M&amp;S'!G22+Equip!G22+Consultant!G22+Subrecipient!L14+ODCs!G22</f>
        <v>379498</v>
      </c>
      <c r="F26" s="282">
        <f>Personnel!P56+Travel!P41+'M&amp;S'!G32+Equip!G32+Consultant!G32+Subrecipient!M14+ODCs!G32</f>
        <v>218453.625</v>
      </c>
      <c r="G26" s="282">
        <f>Personnel!P74+Travel!P54+'M&amp;S'!G42+Equip!G42+Consultant!G42+Subrecipient!N14+ODCs!G42</f>
        <v>0</v>
      </c>
      <c r="H26" s="283">
        <f>SUM(D26:G26)</f>
        <v>1042129.625</v>
      </c>
      <c r="J26" s="119">
        <f>SUM(D26:G26)</f>
        <v>1042129.625</v>
      </c>
    </row>
    <row r="27" spans="1:16" ht="15.75" customHeight="1" x14ac:dyDescent="0.2">
      <c r="A27" s="141" t="s">
        <v>3</v>
      </c>
      <c r="B27" s="142"/>
      <c r="C27" s="143">
        <f>VLOOKUP(B26,'Budget Info &amp; Rates'!$D$13:$E$19,2,FALSE)</f>
        <v>0.4</v>
      </c>
      <c r="D27" s="120">
        <f>D26*$C$27</f>
        <v>177671.2</v>
      </c>
      <c r="E27" s="120">
        <f>E26*$C$27</f>
        <v>151799.20000000001</v>
      </c>
      <c r="F27" s="120">
        <f>F26*$C$27</f>
        <v>87381.450000000012</v>
      </c>
      <c r="G27" s="120">
        <f>G26*$C$27</f>
        <v>0</v>
      </c>
      <c r="H27" s="121">
        <f>SUM(D27:G27)</f>
        <v>416851.85000000003</v>
      </c>
      <c r="J27" s="112">
        <f>SUM(D27:G27)</f>
        <v>416851.85000000003</v>
      </c>
      <c r="K27" s="112">
        <f>ROUND(J26*C27,0)</f>
        <v>416852</v>
      </c>
    </row>
    <row r="28" spans="1:16" ht="21.95" customHeight="1" thickBot="1" x14ac:dyDescent="0.25">
      <c r="A28" s="136" t="s">
        <v>57</v>
      </c>
      <c r="B28" s="137"/>
      <c r="C28" s="137"/>
      <c r="D28" s="113">
        <f>SUM(D27,D23)</f>
        <v>915849.2</v>
      </c>
      <c r="E28" s="113">
        <f t="shared" ref="E28:G28" si="5">SUM(E27,E23)</f>
        <v>878297.2</v>
      </c>
      <c r="F28" s="113">
        <f t="shared" si="5"/>
        <v>491835.07500000001</v>
      </c>
      <c r="G28" s="113">
        <f t="shared" si="5"/>
        <v>0</v>
      </c>
      <c r="H28" s="369"/>
      <c r="J28" s="112">
        <f>SUM(D28:G28)</f>
        <v>2285981.4750000001</v>
      </c>
      <c r="K28" s="112">
        <f>K27-J27</f>
        <v>0.1499999999650754</v>
      </c>
    </row>
    <row r="29" spans="1:16" ht="30" customHeight="1" thickBot="1" x14ac:dyDescent="0.25">
      <c r="A29" s="379" t="s">
        <v>78</v>
      </c>
      <c r="B29" s="380"/>
      <c r="C29" s="381"/>
      <c r="D29" s="368"/>
      <c r="E29" s="368"/>
      <c r="F29" s="368"/>
      <c r="G29" s="370"/>
      <c r="H29" s="371">
        <f>SUM(D28:G28)</f>
        <v>2285981.4750000001</v>
      </c>
      <c r="J29" s="112">
        <f>H29-J28</f>
        <v>0</v>
      </c>
    </row>
    <row r="30" spans="1:16" ht="9" customHeight="1" thickBot="1" x14ac:dyDescent="0.25">
      <c r="A30" s="144"/>
      <c r="B30" s="122"/>
      <c r="C30" s="122"/>
      <c r="D30" s="145"/>
      <c r="E30" s="145"/>
      <c r="F30" s="145"/>
      <c r="G30" s="145"/>
      <c r="H30" s="146"/>
    </row>
    <row r="31" spans="1:16" s="125" customFormat="1" ht="9.75" customHeight="1" thickBot="1" x14ac:dyDescent="0.25">
      <c r="A31" s="147"/>
      <c r="B31" s="127"/>
      <c r="C31" s="127"/>
      <c r="D31" s="148"/>
      <c r="E31" s="148"/>
      <c r="F31" s="148"/>
      <c r="G31" s="148"/>
      <c r="H31" s="149"/>
      <c r="I31" s="107"/>
      <c r="J31" s="285">
        <f>J26-K32</f>
        <v>0</v>
      </c>
      <c r="K31" s="285">
        <f>J45-K45</f>
        <v>0</v>
      </c>
    </row>
    <row r="32" spans="1:16" ht="16.350000000000001" customHeight="1" x14ac:dyDescent="0.2">
      <c r="A32" s="222" t="s">
        <v>237</v>
      </c>
      <c r="J32" s="119">
        <f>J23-J45</f>
        <v>1042129.625</v>
      </c>
      <c r="K32" s="119">
        <f>J23-SUM(D45:G45)</f>
        <v>1042129.625</v>
      </c>
    </row>
    <row r="33" spans="1:11" ht="10.35" customHeight="1" x14ac:dyDescent="0.2">
      <c r="A33" s="128"/>
      <c r="J33" s="119"/>
      <c r="K33" s="285">
        <f>K32-J32</f>
        <v>0</v>
      </c>
    </row>
    <row r="34" spans="1:11" ht="15.75" thickBot="1" x14ac:dyDescent="0.25">
      <c r="A34" s="223" t="s">
        <v>133</v>
      </c>
      <c r="D34" s="219">
        <f>D8+(3*365)+1</f>
        <v>42185</v>
      </c>
      <c r="E34" s="219">
        <f>E8+(3*365)</f>
        <v>42549</v>
      </c>
      <c r="F34" s="219">
        <f>F8+(3*365)+1</f>
        <v>42915</v>
      </c>
      <c r="G34" s="219"/>
      <c r="H34" s="219"/>
      <c r="J34" s="119"/>
      <c r="K34" s="119"/>
    </row>
    <row r="35" spans="1:11" ht="24.75" customHeight="1" x14ac:dyDescent="0.2">
      <c r="A35" s="341" t="s">
        <v>285</v>
      </c>
      <c r="D35" s="226"/>
      <c r="E35" s="226"/>
      <c r="F35" s="226"/>
      <c r="J35" s="227"/>
      <c r="K35" s="227"/>
    </row>
    <row r="36" spans="1:11" ht="18" customHeight="1" x14ac:dyDescent="0.25">
      <c r="A36" s="384" t="s">
        <v>192</v>
      </c>
      <c r="B36" s="384"/>
      <c r="C36" s="228" t="s">
        <v>0</v>
      </c>
      <c r="D36" s="229">
        <v>0.1</v>
      </c>
      <c r="E36" s="229"/>
      <c r="F36" s="229"/>
      <c r="G36" s="229"/>
      <c r="H36" s="229"/>
      <c r="J36" s="227"/>
      <c r="K36" s="227"/>
    </row>
    <row r="37" spans="1:11" ht="15" customHeight="1" x14ac:dyDescent="0.2">
      <c r="A37" s="384"/>
      <c r="B37" s="384"/>
      <c r="C37" s="232"/>
      <c r="D37" s="230" t="s">
        <v>1</v>
      </c>
      <c r="E37" s="233"/>
      <c r="F37" s="233"/>
      <c r="J37" s="227"/>
      <c r="K37" s="227"/>
    </row>
    <row r="38" spans="1:11" ht="15" customHeight="1" x14ac:dyDescent="0.25">
      <c r="A38" s="384"/>
      <c r="B38" s="384"/>
      <c r="C38" s="228" t="s">
        <v>2</v>
      </c>
      <c r="D38" s="231">
        <v>10000</v>
      </c>
      <c r="E38" s="231"/>
      <c r="F38" s="231"/>
      <c r="G38" s="229"/>
      <c r="H38" s="229"/>
      <c r="J38" s="227"/>
      <c r="K38" s="227"/>
    </row>
    <row r="39" spans="1:11" x14ac:dyDescent="0.2">
      <c r="J39" s="119"/>
      <c r="K39" s="119"/>
    </row>
    <row r="40" spans="1:11" x14ac:dyDescent="0.2">
      <c r="A40" s="183" t="s">
        <v>68</v>
      </c>
      <c r="B40" s="128"/>
      <c r="C40" s="128"/>
      <c r="D40" s="367" t="str">
        <f>D9</f>
        <v>Year 1</v>
      </c>
      <c r="E40" s="367" t="str">
        <f>E9</f>
        <v>Year 2</v>
      </c>
      <c r="F40" s="367" t="str">
        <f>F9</f>
        <v>Year 3</v>
      </c>
      <c r="G40" s="367" t="str">
        <f>IF(G9="","",G9)</f>
        <v/>
      </c>
      <c r="H40" s="366" t="str">
        <f>H9</f>
        <v>TOTAL</v>
      </c>
    </row>
    <row r="41" spans="1:11" s="125" customFormat="1" x14ac:dyDescent="0.2">
      <c r="A41" s="123"/>
      <c r="B41" s="123" t="s">
        <v>235</v>
      </c>
      <c r="C41" s="123"/>
      <c r="D41" s="124">
        <f>Personnel!M20</f>
        <v>72000</v>
      </c>
      <c r="E41" s="124">
        <f>Personnel!M38</f>
        <v>72000</v>
      </c>
      <c r="F41" s="124">
        <f>Personnel!M56</f>
        <v>36000</v>
      </c>
      <c r="G41" s="124">
        <f>Personnel!M74</f>
        <v>0</v>
      </c>
      <c r="H41" s="365">
        <f>SUM(D41:G41)</f>
        <v>180000</v>
      </c>
      <c r="J41" s="227">
        <f>SUM(D41:G41)</f>
        <v>180000</v>
      </c>
    </row>
    <row r="42" spans="1:11" s="125" customFormat="1" x14ac:dyDescent="0.2">
      <c r="A42" s="123"/>
      <c r="B42" s="123" t="s">
        <v>153</v>
      </c>
      <c r="C42" s="123"/>
      <c r="D42" s="124">
        <f>Subrecipient!F17</f>
        <v>10000</v>
      </c>
      <c r="E42" s="124">
        <f>Subrecipient!G17</f>
        <v>75000</v>
      </c>
      <c r="F42" s="124">
        <f>Subrecipient!H17</f>
        <v>50000</v>
      </c>
      <c r="G42" s="124">
        <f>Subrecipient!I17</f>
        <v>0</v>
      </c>
      <c r="H42" s="365">
        <f>SUM(D42:G42)</f>
        <v>135000</v>
      </c>
      <c r="J42" s="227">
        <f t="shared" ref="J42:J44" si="6">SUM(D42:G42)</f>
        <v>135000</v>
      </c>
    </row>
    <row r="43" spans="1:11" s="125" customFormat="1" x14ac:dyDescent="0.2">
      <c r="A43" s="123"/>
      <c r="B43" s="123" t="s">
        <v>81</v>
      </c>
      <c r="C43" s="123"/>
      <c r="D43" s="124">
        <f>D13</f>
        <v>12000</v>
      </c>
      <c r="E43" s="124">
        <f>E13</f>
        <v>0</v>
      </c>
      <c r="F43" s="124">
        <f>F13</f>
        <v>0</v>
      </c>
      <c r="G43" s="124">
        <f>G13</f>
        <v>0</v>
      </c>
      <c r="H43" s="365">
        <f>SUM(D43:G43)</f>
        <v>12000</v>
      </c>
      <c r="J43" s="227">
        <f t="shared" si="6"/>
        <v>12000</v>
      </c>
    </row>
    <row r="44" spans="1:11" s="125" customFormat="1" x14ac:dyDescent="0.2">
      <c r="A44" s="123"/>
      <c r="B44" s="123" t="s">
        <v>154</v>
      </c>
      <c r="C44" s="170" t="s">
        <v>50</v>
      </c>
      <c r="D44" s="124">
        <f>L23</f>
        <v>200000</v>
      </c>
      <c r="E44" s="124">
        <f>M23</f>
        <v>200000</v>
      </c>
      <c r="F44" s="124">
        <f>N23</f>
        <v>100000</v>
      </c>
      <c r="G44" s="124">
        <f>O23</f>
        <v>0</v>
      </c>
      <c r="H44" s="365">
        <f>SUM(D44:G44)</f>
        <v>500000</v>
      </c>
      <c r="J44" s="227">
        <f t="shared" si="6"/>
        <v>500000</v>
      </c>
    </row>
    <row r="45" spans="1:11" s="125" customFormat="1" x14ac:dyDescent="0.2">
      <c r="A45" s="126"/>
      <c r="B45" s="172" t="s">
        <v>155</v>
      </c>
      <c r="C45" s="172"/>
      <c r="D45" s="173">
        <f>SUM(D41:D44)</f>
        <v>294000</v>
      </c>
      <c r="E45" s="173">
        <f t="shared" ref="E45:H45" si="7">SUM(E41:E44)</f>
        <v>347000</v>
      </c>
      <c r="F45" s="173">
        <f t="shared" si="7"/>
        <v>186000</v>
      </c>
      <c r="G45" s="173">
        <f t="shared" si="7"/>
        <v>0</v>
      </c>
      <c r="H45" s="173">
        <f t="shared" si="7"/>
        <v>827000</v>
      </c>
      <c r="I45" s="194"/>
      <c r="J45" s="119">
        <f>SUM(J41:J44)</f>
        <v>827000</v>
      </c>
      <c r="K45" s="119">
        <f>J23-J26</f>
        <v>827000</v>
      </c>
    </row>
    <row r="47" spans="1:11" x14ac:dyDescent="0.2">
      <c r="D47" s="193">
        <f>D23-D26</f>
        <v>294000</v>
      </c>
      <c r="E47" s="193">
        <f t="shared" ref="E47:H47" si="8">E23-E26</f>
        <v>347000</v>
      </c>
      <c r="F47" s="193">
        <f t="shared" si="8"/>
        <v>186000</v>
      </c>
      <c r="G47" s="193">
        <f t="shared" si="8"/>
        <v>0</v>
      </c>
      <c r="H47" s="193">
        <f t="shared" si="8"/>
        <v>827000</v>
      </c>
    </row>
    <row r="48" spans="1:11" x14ac:dyDescent="0.2">
      <c r="D48" s="193">
        <f>D45-D47</f>
        <v>0</v>
      </c>
      <c r="E48" s="193">
        <f>E45-E47</f>
        <v>0</v>
      </c>
      <c r="F48" s="193">
        <f>F45-F47</f>
        <v>0</v>
      </c>
      <c r="G48" s="193">
        <f>G45-G47</f>
        <v>0</v>
      </c>
      <c r="H48" s="193">
        <f>H45-H47</f>
        <v>0</v>
      </c>
    </row>
  </sheetData>
  <mergeCells count="3">
    <mergeCell ref="A29:C29"/>
    <mergeCell ref="D2:G2"/>
    <mergeCell ref="A36:B38"/>
  </mergeCells>
  <phoneticPr fontId="1" type="noConversion"/>
  <printOptions horizontalCentered="1"/>
  <pageMargins left="0.25" right="0.25" top="0.75" bottom="0.5" header="0.5" footer="0.5"/>
  <pageSetup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O26"/>
  <sheetViews>
    <sheetView workbookViewId="0">
      <selection sqref="A1:XFD27"/>
    </sheetView>
  </sheetViews>
  <sheetFormatPr defaultColWidth="7.75" defaultRowHeight="12.75" x14ac:dyDescent="0.2"/>
  <cols>
    <col min="1" max="1" width="18.25" style="17" customWidth="1"/>
    <col min="2" max="2" width="8.875" style="17" customWidth="1"/>
    <col min="3" max="3" width="7.875" style="17" customWidth="1"/>
    <col min="4" max="4" width="12" style="17" customWidth="1"/>
    <col min="5" max="5" width="7.875" style="17" customWidth="1"/>
    <col min="6" max="6" width="6.875" style="17" customWidth="1"/>
    <col min="7" max="7" width="10.75" style="17" customWidth="1"/>
    <col min="8" max="8" width="8.75" style="17" customWidth="1"/>
    <col min="9" max="9" width="8.375" style="17" customWidth="1"/>
    <col min="10" max="10" width="9" style="17" customWidth="1"/>
    <col min="11" max="16384" width="7.75" style="17"/>
  </cols>
  <sheetData>
    <row r="1" spans="1:15" x14ac:dyDescent="0.2">
      <c r="C1" s="412" t="s">
        <v>264</v>
      </c>
      <c r="D1" s="412"/>
      <c r="E1" s="412"/>
      <c r="F1" s="412"/>
      <c r="G1" s="412"/>
      <c r="H1" s="412"/>
      <c r="I1" s="412"/>
      <c r="J1" s="412"/>
    </row>
    <row r="2" spans="1:15" ht="18.75" x14ac:dyDescent="0.3">
      <c r="A2" s="31" t="s">
        <v>47</v>
      </c>
      <c r="C2" s="412"/>
      <c r="D2" s="412"/>
      <c r="E2" s="412"/>
      <c r="F2" s="412"/>
      <c r="G2" s="412"/>
      <c r="H2" s="412"/>
      <c r="I2" s="412"/>
      <c r="J2" s="412"/>
    </row>
    <row r="3" spans="1:15" ht="18" customHeight="1" x14ac:dyDescent="0.2">
      <c r="A3" s="29" t="s">
        <v>40</v>
      </c>
      <c r="B3" s="28" t="s">
        <v>46</v>
      </c>
      <c r="C3" s="27" t="s">
        <v>45</v>
      </c>
      <c r="D3" s="27" t="s">
        <v>44</v>
      </c>
      <c r="E3" s="26" t="s">
        <v>43</v>
      </c>
      <c r="G3" s="18" t="s">
        <v>173</v>
      </c>
    </row>
    <row r="4" spans="1:15" ht="18" customHeight="1" x14ac:dyDescent="0.2">
      <c r="A4" s="36" t="s">
        <v>183</v>
      </c>
      <c r="B4" s="38" t="s">
        <v>41</v>
      </c>
      <c r="C4" s="22">
        <v>9</v>
      </c>
      <c r="D4" s="22" t="s">
        <v>161</v>
      </c>
      <c r="E4" s="51">
        <v>0.42</v>
      </c>
      <c r="G4" s="25" t="s">
        <v>128</v>
      </c>
    </row>
    <row r="5" spans="1:15" ht="18" customHeight="1" x14ac:dyDescent="0.2">
      <c r="A5" s="36" t="s">
        <v>184</v>
      </c>
      <c r="B5" s="38" t="s">
        <v>41</v>
      </c>
      <c r="C5" s="22">
        <v>9</v>
      </c>
      <c r="D5" s="22" t="s">
        <v>162</v>
      </c>
      <c r="E5" s="51">
        <v>0.4</v>
      </c>
      <c r="G5" s="37" t="s">
        <v>42</v>
      </c>
    </row>
    <row r="6" spans="1:15" ht="18" customHeight="1" x14ac:dyDescent="0.2">
      <c r="A6" s="36" t="s">
        <v>185</v>
      </c>
      <c r="B6" s="35" t="s">
        <v>41</v>
      </c>
      <c r="C6" s="22">
        <v>12</v>
      </c>
      <c r="D6" s="22" t="s">
        <v>163</v>
      </c>
      <c r="E6" s="51">
        <v>0.12</v>
      </c>
    </row>
    <row r="7" spans="1:15" ht="18" customHeight="1" x14ac:dyDescent="0.2">
      <c r="A7" s="36" t="s">
        <v>262</v>
      </c>
      <c r="B7" s="35" t="s">
        <v>41</v>
      </c>
      <c r="C7" s="22">
        <v>12</v>
      </c>
      <c r="D7" s="22" t="s">
        <v>263</v>
      </c>
      <c r="E7" s="51">
        <v>0.35</v>
      </c>
    </row>
    <row r="8" spans="1:15" ht="18" customHeight="1" x14ac:dyDescent="0.2">
      <c r="A8" s="36" t="s">
        <v>79</v>
      </c>
      <c r="B8" s="35" t="s">
        <v>41</v>
      </c>
      <c r="C8" s="22">
        <v>3</v>
      </c>
      <c r="D8" s="22" t="s">
        <v>172</v>
      </c>
      <c r="E8" s="51">
        <v>0.12</v>
      </c>
    </row>
    <row r="9" spans="1:15" ht="18" customHeight="1" x14ac:dyDescent="0.2">
      <c r="A9" s="34" t="s">
        <v>80</v>
      </c>
      <c r="B9" s="33" t="s">
        <v>41</v>
      </c>
      <c r="C9" s="19">
        <v>12</v>
      </c>
      <c r="D9" s="19" t="s">
        <v>174</v>
      </c>
      <c r="E9" s="52">
        <v>0.45</v>
      </c>
    </row>
    <row r="10" spans="1:15" ht="13.5" thickBot="1" x14ac:dyDescent="0.25">
      <c r="A10" s="32"/>
      <c r="B10" s="32"/>
      <c r="C10" s="32"/>
      <c r="D10" s="32"/>
      <c r="E10" s="32"/>
      <c r="F10" s="32"/>
      <c r="G10" s="32"/>
      <c r="H10" s="32"/>
      <c r="I10" s="32"/>
      <c r="J10" s="32"/>
    </row>
    <row r="11" spans="1:15" ht="12" customHeight="1" thickTop="1" x14ac:dyDescent="0.2">
      <c r="A11" s="23"/>
      <c r="B11" s="23"/>
      <c r="C11" s="23"/>
      <c r="D11" s="23"/>
      <c r="E11" s="23"/>
      <c r="F11" s="23"/>
      <c r="G11" s="23"/>
      <c r="H11" s="23"/>
      <c r="I11" s="23"/>
      <c r="J11" s="23"/>
    </row>
    <row r="12" spans="1:15" ht="36.75" customHeight="1" x14ac:dyDescent="0.3">
      <c r="A12" s="31" t="s">
        <v>266</v>
      </c>
      <c r="C12" s="412" t="s">
        <v>265</v>
      </c>
      <c r="D12" s="412"/>
      <c r="E12" s="412"/>
      <c r="F12" s="412"/>
      <c r="G12" s="412"/>
      <c r="H12" s="412"/>
      <c r="I12" s="412"/>
      <c r="J12" s="412"/>
      <c r="K12" s="352"/>
      <c r="L12" s="30"/>
    </row>
    <row r="13" spans="1:15" ht="18" customHeight="1" x14ac:dyDescent="0.2">
      <c r="A13" s="29" t="s">
        <v>40</v>
      </c>
      <c r="B13" s="28" t="s">
        <v>39</v>
      </c>
      <c r="C13" s="27" t="s">
        <v>38</v>
      </c>
      <c r="D13" s="27" t="s">
        <v>37</v>
      </c>
      <c r="E13" s="26" t="s">
        <v>36</v>
      </c>
      <c r="G13" s="18" t="s">
        <v>171</v>
      </c>
    </row>
    <row r="14" spans="1:15" ht="20.100000000000001" customHeight="1" x14ac:dyDescent="0.2">
      <c r="A14" s="24" t="s">
        <v>34</v>
      </c>
      <c r="B14" s="23" t="s">
        <v>165</v>
      </c>
      <c r="C14" s="353" t="s">
        <v>270</v>
      </c>
      <c r="D14" s="22" t="s">
        <v>35</v>
      </c>
      <c r="E14" s="51">
        <v>0.4</v>
      </c>
      <c r="G14" s="413" t="s">
        <v>269</v>
      </c>
      <c r="H14" s="413"/>
      <c r="I14" s="413"/>
      <c r="J14" s="413"/>
    </row>
    <row r="15" spans="1:15" ht="20.100000000000001" customHeight="1" x14ac:dyDescent="0.2">
      <c r="A15" s="24" t="s">
        <v>34</v>
      </c>
      <c r="B15" s="23" t="s">
        <v>164</v>
      </c>
      <c r="C15" s="353" t="s">
        <v>270</v>
      </c>
      <c r="D15" s="22" t="s">
        <v>33</v>
      </c>
      <c r="E15" s="51">
        <v>0.25</v>
      </c>
      <c r="G15" s="413"/>
      <c r="H15" s="413"/>
      <c r="I15" s="413"/>
      <c r="J15" s="413"/>
      <c r="K15" s="352"/>
      <c r="L15" s="352"/>
      <c r="M15" s="352"/>
      <c r="N15" s="352"/>
      <c r="O15" s="352"/>
    </row>
    <row r="16" spans="1:15" ht="20.100000000000001" customHeight="1" x14ac:dyDescent="0.2">
      <c r="A16" s="24" t="s">
        <v>31</v>
      </c>
      <c r="B16" s="23" t="s">
        <v>165</v>
      </c>
      <c r="C16" s="353" t="s">
        <v>270</v>
      </c>
      <c r="D16" s="22" t="s">
        <v>32</v>
      </c>
      <c r="E16" s="51">
        <v>0.4</v>
      </c>
      <c r="G16" s="413"/>
      <c r="H16" s="413"/>
      <c r="I16" s="413"/>
      <c r="J16" s="413"/>
    </row>
    <row r="17" spans="1:10" ht="20.100000000000001" customHeight="1" x14ac:dyDescent="0.2">
      <c r="A17" s="24" t="s">
        <v>31</v>
      </c>
      <c r="B17" s="23" t="s">
        <v>164</v>
      </c>
      <c r="C17" s="353" t="s">
        <v>270</v>
      </c>
      <c r="D17" s="22" t="s">
        <v>169</v>
      </c>
      <c r="E17" s="51">
        <v>0.25</v>
      </c>
      <c r="G17" s="413"/>
      <c r="H17" s="413"/>
      <c r="I17" s="413"/>
      <c r="J17" s="413"/>
    </row>
    <row r="18" spans="1:10" ht="20.100000000000001" customHeight="1" x14ac:dyDescent="0.2">
      <c r="A18" s="24" t="s">
        <v>167</v>
      </c>
      <c r="B18" s="23" t="s">
        <v>165</v>
      </c>
      <c r="C18" s="353" t="s">
        <v>270</v>
      </c>
      <c r="D18" s="22" t="s">
        <v>168</v>
      </c>
      <c r="E18" s="51">
        <v>0.4</v>
      </c>
      <c r="G18" s="413"/>
      <c r="H18" s="413"/>
      <c r="I18" s="413"/>
      <c r="J18" s="413"/>
    </row>
    <row r="19" spans="1:10" ht="20.100000000000001" customHeight="1" x14ac:dyDescent="0.2">
      <c r="A19" s="21" t="s">
        <v>167</v>
      </c>
      <c r="B19" s="20" t="s">
        <v>164</v>
      </c>
      <c r="C19" s="354" t="s">
        <v>270</v>
      </c>
      <c r="D19" s="19" t="s">
        <v>166</v>
      </c>
      <c r="E19" s="52">
        <v>0.25</v>
      </c>
      <c r="G19" s="413"/>
      <c r="H19" s="413"/>
      <c r="I19" s="413"/>
      <c r="J19" s="413"/>
    </row>
    <row r="20" spans="1:10" ht="10.35" customHeight="1" thickBot="1" x14ac:dyDescent="0.25">
      <c r="A20" s="32"/>
      <c r="B20" s="32"/>
      <c r="C20" s="32"/>
      <c r="D20" s="32"/>
      <c r="E20" s="32"/>
      <c r="F20" s="32"/>
      <c r="G20" s="32"/>
      <c r="H20" s="32"/>
      <c r="I20" s="32"/>
      <c r="J20" s="32"/>
    </row>
    <row r="21" spans="1:10" ht="8.4499999999999993" customHeight="1" thickTop="1" x14ac:dyDescent="0.2"/>
    <row r="22" spans="1:10" ht="18.75" x14ac:dyDescent="0.3">
      <c r="A22" s="31" t="s">
        <v>238</v>
      </c>
    </row>
    <row r="23" spans="1:10" x14ac:dyDescent="0.2">
      <c r="A23" s="29" t="s">
        <v>40</v>
      </c>
      <c r="B23" s="28" t="s">
        <v>46</v>
      </c>
      <c r="C23" s="27"/>
      <c r="D23" s="27" t="s">
        <v>254</v>
      </c>
      <c r="E23" s="26" t="s">
        <v>251</v>
      </c>
      <c r="G23" s="18" t="s">
        <v>267</v>
      </c>
    </row>
    <row r="24" spans="1:10" x14ac:dyDescent="0.2">
      <c r="A24" s="36" t="s">
        <v>253</v>
      </c>
      <c r="B24" s="38" t="s">
        <v>41</v>
      </c>
      <c r="C24" s="22"/>
      <c r="D24" s="22" t="s">
        <v>150</v>
      </c>
      <c r="E24" s="348">
        <v>10000</v>
      </c>
      <c r="G24" s="25" t="s">
        <v>268</v>
      </c>
    </row>
    <row r="25" spans="1:10" x14ac:dyDescent="0.2">
      <c r="A25" s="36" t="s">
        <v>252</v>
      </c>
      <c r="B25" s="38" t="s">
        <v>41</v>
      </c>
      <c r="C25" s="22"/>
      <c r="D25" s="22" t="s">
        <v>152</v>
      </c>
      <c r="E25" s="348">
        <v>18000</v>
      </c>
    </row>
    <row r="26" spans="1:10" x14ac:dyDescent="0.2">
      <c r="A26" s="34"/>
      <c r="B26" s="33"/>
      <c r="C26" s="19"/>
      <c r="D26" s="19"/>
      <c r="E26" s="349">
        <v>0</v>
      </c>
    </row>
  </sheetData>
  <mergeCells count="3">
    <mergeCell ref="C1:J2"/>
    <mergeCell ref="C12:J12"/>
    <mergeCell ref="G14:J19"/>
  </mergeCells>
  <phoneticPr fontId="1" type="noConversion"/>
  <printOptions horizontalCentered="1"/>
  <pageMargins left="0.25" right="0.25" top="0.5" bottom="0.5" header="0.5" footer="0.25"/>
  <pageSetup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activeCell="D10" sqref="D10"/>
    </sheetView>
  </sheetViews>
  <sheetFormatPr defaultColWidth="8.75" defaultRowHeight="12.75" x14ac:dyDescent="0.2"/>
  <cols>
    <col min="1" max="2" width="8.75" style="4"/>
    <col min="3" max="3" width="6.625" style="4" customWidth="1"/>
    <col min="4" max="8" width="10.375" style="4" customWidth="1"/>
    <col min="9" max="16384" width="8.75" style="4"/>
  </cols>
  <sheetData>
    <row r="1" spans="1:9" ht="8.1" customHeight="1" x14ac:dyDescent="0.2">
      <c r="A1" s="302"/>
      <c r="B1" s="302"/>
      <c r="C1" s="302"/>
      <c r="D1" s="302"/>
      <c r="E1" s="302"/>
      <c r="F1" s="302"/>
      <c r="G1" s="302"/>
      <c r="H1" s="302"/>
    </row>
    <row r="2" spans="1:9" ht="12.95" customHeight="1" x14ac:dyDescent="0.25">
      <c r="A2" s="225" t="s">
        <v>250</v>
      </c>
      <c r="B2" s="297"/>
      <c r="C2" s="297"/>
      <c r="D2" s="387" t="str">
        <f>IF('Exhibit B '!D2:G2&lt;&gt;"",'Exhibit B '!D2:G2,"")</f>
        <v>PI, Joe</v>
      </c>
      <c r="E2" s="388"/>
      <c r="F2" s="388"/>
      <c r="G2" s="388"/>
      <c r="H2" s="303"/>
      <c r="I2" s="304" t="s">
        <v>69</v>
      </c>
    </row>
    <row r="3" spans="1:9" ht="22.5" customHeight="1" thickBot="1" x14ac:dyDescent="0.25">
      <c r="A3" s="305"/>
      <c r="B3" s="305"/>
      <c r="C3" s="305"/>
      <c r="D3" s="305"/>
      <c r="E3" s="305"/>
      <c r="F3" s="305"/>
      <c r="G3" s="305"/>
      <c r="H3" s="305"/>
      <c r="I3" s="306" t="s">
        <v>229</v>
      </c>
    </row>
    <row r="4" spans="1:9" ht="27.75" customHeight="1" x14ac:dyDescent="0.25">
      <c r="A4" s="307"/>
      <c r="B4" s="398" t="s">
        <v>247</v>
      </c>
      <c r="C4" s="398"/>
      <c r="D4" s="398"/>
      <c r="E4" s="398"/>
      <c r="F4" s="398"/>
      <c r="G4" s="398"/>
      <c r="H4" s="398"/>
      <c r="I4" s="308"/>
    </row>
    <row r="5" spans="1:9" ht="20.100000000000001" customHeight="1" thickBot="1" x14ac:dyDescent="0.25">
      <c r="A5" s="309"/>
      <c r="B5" s="310"/>
      <c r="C5" s="311"/>
      <c r="D5" s="312">
        <f>'Exhibit B '!D5</f>
        <v>40724</v>
      </c>
      <c r="E5" s="313" t="s">
        <v>58</v>
      </c>
      <c r="F5" s="312">
        <f>'Exhibit B '!F5</f>
        <v>41819</v>
      </c>
      <c r="G5" s="312"/>
      <c r="H5" s="314"/>
      <c r="I5" s="315"/>
    </row>
    <row r="6" spans="1:9" ht="13.5" thickBot="1" x14ac:dyDescent="0.25">
      <c r="A6" s="316"/>
      <c r="B6" s="316"/>
      <c r="C6" s="316"/>
      <c r="D6" s="316"/>
      <c r="E6" s="316"/>
      <c r="F6" s="316"/>
      <c r="G6" s="316"/>
      <c r="H6" s="316"/>
    </row>
    <row r="7" spans="1:9" x14ac:dyDescent="0.2">
      <c r="A7" s="317"/>
      <c r="B7" s="318"/>
      <c r="C7" s="319" t="s">
        <v>131</v>
      </c>
      <c r="D7" s="320">
        <f>'Exhibit B '!D7</f>
        <v>40724</v>
      </c>
      <c r="E7" s="320">
        <f>IF('Exhibit B '!E7&lt;&gt;"",'Exhibit B '!E7,"")</f>
        <v>41090</v>
      </c>
      <c r="F7" s="320">
        <f>IF('Exhibit B '!F7&lt;&gt;"",'Exhibit B '!F7,"")</f>
        <v>41455</v>
      </c>
      <c r="G7" s="320" t="str">
        <f>IF('Exhibit B '!G7&lt;&gt;"",'Exhibit B '!G7,"")</f>
        <v/>
      </c>
      <c r="H7" s="320" t="str">
        <f>IF('Exhibit B '!H7&lt;&gt;"",'Exhibit B '!H7,"")</f>
        <v/>
      </c>
      <c r="I7" s="321" t="str">
        <f>IF('Exhibit B '!I7&lt;&gt;"",'Exhibit B '!I7,"")</f>
        <v/>
      </c>
    </row>
    <row r="8" spans="1:9" x14ac:dyDescent="0.2">
      <c r="A8" s="322"/>
      <c r="B8" s="323"/>
      <c r="C8" s="324" t="s">
        <v>132</v>
      </c>
      <c r="D8" s="325">
        <f>'Exhibit B '!D8</f>
        <v>41089</v>
      </c>
      <c r="E8" s="325">
        <f>IF('Exhibit B '!E8&lt;&gt;"",'Exhibit B '!E8,"")</f>
        <v>41454</v>
      </c>
      <c r="F8" s="325">
        <f>IF('Exhibit B '!F8&lt;&gt;"",'Exhibit B '!F8,"")</f>
        <v>41819</v>
      </c>
      <c r="G8" s="325" t="str">
        <f>IF('Exhibit B '!G8&lt;&gt;"",'Exhibit B '!G8,"")</f>
        <v/>
      </c>
      <c r="H8" s="325" t="str">
        <f>IF('Exhibit B '!H8&lt;&gt;"",'Exhibit B '!H8,"")</f>
        <v/>
      </c>
      <c r="I8" s="326" t="str">
        <f>IF('Exhibit B '!I8&lt;&gt;"",'Exhibit B '!I8,"")</f>
        <v/>
      </c>
    </row>
    <row r="9" spans="1:9" x14ac:dyDescent="0.2">
      <c r="A9" s="327"/>
      <c r="B9" s="328"/>
      <c r="C9" s="328"/>
      <c r="D9" s="329" t="s">
        <v>187</v>
      </c>
      <c r="E9" s="329" t="s">
        <v>188</v>
      </c>
      <c r="F9" s="329" t="s">
        <v>189</v>
      </c>
      <c r="G9" s="213" t="str">
        <f>IF(G8="","","Year 4")</f>
        <v/>
      </c>
      <c r="H9" s="213" t="str">
        <f>IF(H8="","","Year 4")</f>
        <v/>
      </c>
      <c r="I9" s="330" t="s">
        <v>5</v>
      </c>
    </row>
    <row r="10" spans="1:9" ht="42.75" customHeight="1" x14ac:dyDescent="0.2">
      <c r="A10" s="392" t="s">
        <v>227</v>
      </c>
      <c r="B10" s="393"/>
      <c r="C10" s="394"/>
      <c r="D10" s="331">
        <f>'Exhibit B '!D28</f>
        <v>915849.2</v>
      </c>
      <c r="E10" s="331">
        <f>'Exhibit B '!E28</f>
        <v>878297.2</v>
      </c>
      <c r="F10" s="331">
        <f>'Exhibit B '!F28</f>
        <v>491835.07500000001</v>
      </c>
      <c r="G10" s="331">
        <f>'Exhibit B '!G28</f>
        <v>0</v>
      </c>
      <c r="H10" s="331">
        <f>'Exhibit B '!H28</f>
        <v>0</v>
      </c>
      <c r="I10" s="332">
        <f>SUM(D10:H10)</f>
        <v>2285981.4750000001</v>
      </c>
    </row>
    <row r="11" spans="1:9" ht="42.75" customHeight="1" x14ac:dyDescent="0.2">
      <c r="A11" s="389" t="s">
        <v>228</v>
      </c>
      <c r="B11" s="390"/>
      <c r="C11" s="391"/>
      <c r="D11" s="333">
        <v>0</v>
      </c>
      <c r="E11" s="333">
        <v>0</v>
      </c>
      <c r="F11" s="333">
        <v>0</v>
      </c>
      <c r="G11" s="333">
        <v>0</v>
      </c>
      <c r="H11" s="333">
        <v>0</v>
      </c>
      <c r="I11" s="334">
        <v>0</v>
      </c>
    </row>
    <row r="12" spans="1:9" ht="42.75" customHeight="1" thickBot="1" x14ac:dyDescent="0.25">
      <c r="A12" s="395" t="s">
        <v>248</v>
      </c>
      <c r="B12" s="396"/>
      <c r="C12" s="397"/>
      <c r="D12" s="335">
        <f t="shared" ref="D12:I12" si="0">D10-D11</f>
        <v>915849.2</v>
      </c>
      <c r="E12" s="335">
        <f t="shared" si="0"/>
        <v>878297.2</v>
      </c>
      <c r="F12" s="335">
        <f t="shared" si="0"/>
        <v>491835.07500000001</v>
      </c>
      <c r="G12" s="335">
        <f t="shared" si="0"/>
        <v>0</v>
      </c>
      <c r="H12" s="335">
        <f t="shared" si="0"/>
        <v>0</v>
      </c>
      <c r="I12" s="336">
        <f t="shared" si="0"/>
        <v>2285981.4750000001</v>
      </c>
    </row>
    <row r="13" spans="1:9" ht="16.5" customHeight="1" x14ac:dyDescent="0.2"/>
    <row r="14" spans="1:9" ht="51.6" customHeight="1" x14ac:dyDescent="0.2">
      <c r="A14" s="385" t="s">
        <v>233</v>
      </c>
      <c r="B14" s="385"/>
      <c r="C14" s="385"/>
      <c r="D14" s="385"/>
      <c r="E14" s="385"/>
      <c r="F14" s="385"/>
      <c r="G14" s="385"/>
      <c r="H14" s="385"/>
      <c r="I14" s="385"/>
    </row>
    <row r="15" spans="1:9" ht="21" customHeight="1" x14ac:dyDescent="0.2">
      <c r="A15" s="385" t="s">
        <v>231</v>
      </c>
      <c r="B15" s="385"/>
      <c r="C15" s="385"/>
      <c r="D15" s="385"/>
      <c r="E15" s="385"/>
      <c r="F15" s="385"/>
      <c r="G15" s="385"/>
      <c r="H15" s="385"/>
      <c r="I15" s="385"/>
    </row>
    <row r="16" spans="1:9" ht="19.350000000000001" customHeight="1" x14ac:dyDescent="0.2">
      <c r="A16" s="386" t="s">
        <v>230</v>
      </c>
      <c r="B16" s="386"/>
      <c r="C16" s="386"/>
      <c r="D16" s="386"/>
      <c r="E16" s="386"/>
      <c r="F16" s="386"/>
      <c r="G16" s="386"/>
      <c r="H16" s="386"/>
      <c r="I16" s="386"/>
    </row>
    <row r="18" spans="1:7" x14ac:dyDescent="0.2">
      <c r="A18" s="4" t="s">
        <v>232</v>
      </c>
    </row>
    <row r="19" spans="1:7" s="337" customFormat="1" ht="17.45" customHeight="1" x14ac:dyDescent="0.2">
      <c r="A19" s="338" t="s">
        <v>38</v>
      </c>
      <c r="B19" s="339"/>
      <c r="C19" s="339"/>
      <c r="D19" s="339"/>
      <c r="E19" s="340"/>
      <c r="F19" s="399" t="s">
        <v>249</v>
      </c>
      <c r="G19" s="400"/>
    </row>
    <row r="20" spans="1:7" x14ac:dyDescent="0.2">
      <c r="A20" s="403"/>
      <c r="B20" s="404"/>
      <c r="C20" s="404"/>
      <c r="D20" s="404"/>
      <c r="E20" s="405"/>
      <c r="F20" s="401"/>
      <c r="G20" s="402"/>
    </row>
    <row r="21" spans="1:7" x14ac:dyDescent="0.2">
      <c r="A21" s="403"/>
      <c r="B21" s="404"/>
      <c r="C21" s="404"/>
      <c r="D21" s="404"/>
      <c r="E21" s="405"/>
      <c r="F21" s="401"/>
      <c r="G21" s="402"/>
    </row>
    <row r="22" spans="1:7" x14ac:dyDescent="0.2">
      <c r="A22" s="403"/>
      <c r="B22" s="404"/>
      <c r="C22" s="404"/>
      <c r="D22" s="404"/>
      <c r="E22" s="405"/>
      <c r="F22" s="401"/>
      <c r="G22" s="402"/>
    </row>
    <row r="23" spans="1:7" x14ac:dyDescent="0.2">
      <c r="A23" s="403"/>
      <c r="B23" s="404"/>
      <c r="C23" s="404"/>
      <c r="D23" s="404"/>
      <c r="E23" s="405"/>
      <c r="F23" s="401"/>
      <c r="G23" s="402"/>
    </row>
    <row r="24" spans="1:7" x14ac:dyDescent="0.2">
      <c r="A24" s="403"/>
      <c r="B24" s="404"/>
      <c r="C24" s="404"/>
      <c r="D24" s="404"/>
      <c r="E24" s="405"/>
      <c r="F24" s="401"/>
      <c r="G24" s="402"/>
    </row>
    <row r="25" spans="1:7" x14ac:dyDescent="0.2">
      <c r="A25" s="403"/>
      <c r="B25" s="404"/>
      <c r="C25" s="404"/>
      <c r="D25" s="404"/>
      <c r="E25" s="405"/>
      <c r="F25" s="401"/>
      <c r="G25" s="402"/>
    </row>
  </sheetData>
  <mergeCells count="21">
    <mergeCell ref="F25:G25"/>
    <mergeCell ref="A20:E20"/>
    <mergeCell ref="A21:E21"/>
    <mergeCell ref="A22:E22"/>
    <mergeCell ref="A23:E23"/>
    <mergeCell ref="A24:E24"/>
    <mergeCell ref="A25:E25"/>
    <mergeCell ref="F19:G19"/>
    <mergeCell ref="F23:G23"/>
    <mergeCell ref="F24:G24"/>
    <mergeCell ref="F22:G22"/>
    <mergeCell ref="F21:G21"/>
    <mergeCell ref="F20:G20"/>
    <mergeCell ref="A15:I15"/>
    <mergeCell ref="A16:I16"/>
    <mergeCell ref="A14:I14"/>
    <mergeCell ref="D2:G2"/>
    <mergeCell ref="A11:C11"/>
    <mergeCell ref="A10:C10"/>
    <mergeCell ref="A12:C12"/>
    <mergeCell ref="B4:H4"/>
  </mergeCells>
  <printOptions horizontalCentered="1"/>
  <pageMargins left="0.2" right="0.2" top="0.5" bottom="0.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Q98"/>
  <sheetViews>
    <sheetView workbookViewId="0">
      <selection activeCell="O3" sqref="O3"/>
    </sheetView>
  </sheetViews>
  <sheetFormatPr defaultColWidth="11" defaultRowHeight="12.75" x14ac:dyDescent="0.2"/>
  <cols>
    <col min="1" max="1" width="2.25" style="4" customWidth="1"/>
    <col min="2" max="2" width="2.125" style="4" customWidth="1"/>
    <col min="3" max="3" width="15" style="4" customWidth="1"/>
    <col min="4" max="4" width="11.125" style="4" customWidth="1"/>
    <col min="5" max="5" width="5.125" style="4" customWidth="1"/>
    <col min="6" max="6" width="8" style="4" customWidth="1"/>
    <col min="7" max="7" width="4.875" style="4" customWidth="1"/>
    <col min="8" max="8" width="4.125" style="57" customWidth="1"/>
    <col min="9" max="9" width="8" style="4" customWidth="1"/>
    <col min="10" max="10" width="6.625" style="4" customWidth="1"/>
    <col min="11" max="11" width="8" style="4" customWidth="1"/>
    <col min="12" max="12" width="6.625" style="300" customWidth="1"/>
    <col min="13" max="13" width="9.125" style="4" customWidth="1"/>
    <col min="14" max="14" width="8" style="4" customWidth="1"/>
    <col min="15" max="15" width="9.375" style="4" customWidth="1"/>
    <col min="16" max="16384" width="11" style="4"/>
  </cols>
  <sheetData>
    <row r="1" spans="1:17" ht="15.75" x14ac:dyDescent="0.25">
      <c r="A1" s="64" t="s">
        <v>114</v>
      </c>
      <c r="B1" s="64"/>
      <c r="H1" s="65" t="s">
        <v>88</v>
      </c>
      <c r="M1" s="355"/>
      <c r="N1" s="356" t="s">
        <v>115</v>
      </c>
      <c r="O1" s="357">
        <v>0.05</v>
      </c>
    </row>
    <row r="2" spans="1:17" x14ac:dyDescent="0.2">
      <c r="A2" s="407" t="s">
        <v>245</v>
      </c>
      <c r="B2" s="407"/>
      <c r="C2" s="407"/>
      <c r="D2" s="407"/>
      <c r="F2" s="53" t="s">
        <v>52</v>
      </c>
      <c r="H2" s="65" t="s">
        <v>156</v>
      </c>
    </row>
    <row r="3" spans="1:17" x14ac:dyDescent="0.2">
      <c r="A3" s="407"/>
      <c r="B3" s="407"/>
      <c r="C3" s="407"/>
      <c r="D3" s="407"/>
      <c r="H3" s="65" t="s">
        <v>199</v>
      </c>
      <c r="K3" s="279"/>
      <c r="N3" s="15"/>
    </row>
    <row r="4" spans="1:17" x14ac:dyDescent="0.2">
      <c r="H4" s="65" t="s">
        <v>200</v>
      </c>
      <c r="L4" s="347" t="s">
        <v>170</v>
      </c>
      <c r="M4" s="15"/>
      <c r="N4" s="15"/>
    </row>
    <row r="5" spans="1:17" s="197" customFormat="1" x14ac:dyDescent="0.2">
      <c r="A5" s="406" t="s">
        <v>175</v>
      </c>
      <c r="B5" s="406"/>
      <c r="C5" s="406"/>
      <c r="F5" s="198" t="s">
        <v>116</v>
      </c>
      <c r="G5" s="292" t="s">
        <v>21</v>
      </c>
      <c r="H5" s="293"/>
      <c r="I5" s="292" t="s">
        <v>201</v>
      </c>
      <c r="J5" s="199" t="s">
        <v>203</v>
      </c>
      <c r="K5" s="199" t="s">
        <v>23</v>
      </c>
      <c r="L5" s="199" t="s">
        <v>25</v>
      </c>
      <c r="M5" s="287" t="s">
        <v>238</v>
      </c>
    </row>
    <row r="6" spans="1:17" s="197" customFormat="1" x14ac:dyDescent="0.2">
      <c r="A6" s="200" t="s">
        <v>207</v>
      </c>
      <c r="B6" s="200"/>
      <c r="C6" s="200"/>
      <c r="D6" s="201" t="s">
        <v>157</v>
      </c>
      <c r="E6" s="202" t="s">
        <v>20</v>
      </c>
      <c r="F6" s="203" t="s">
        <v>117</v>
      </c>
      <c r="G6" s="294" t="s">
        <v>87</v>
      </c>
      <c r="H6" s="294" t="s">
        <v>21</v>
      </c>
      <c r="I6" s="294" t="s">
        <v>202</v>
      </c>
      <c r="J6" s="204" t="s">
        <v>204</v>
      </c>
      <c r="K6" s="204" t="s">
        <v>86</v>
      </c>
      <c r="L6" s="205" t="s">
        <v>242</v>
      </c>
      <c r="M6" s="205" t="s">
        <v>239</v>
      </c>
      <c r="N6" s="204" t="s">
        <v>178</v>
      </c>
      <c r="O6" s="204" t="s">
        <v>179</v>
      </c>
      <c r="P6" s="206" t="s">
        <v>159</v>
      </c>
    </row>
    <row r="7" spans="1:17" x14ac:dyDescent="0.2">
      <c r="A7" s="12"/>
      <c r="B7" s="12"/>
      <c r="C7" s="291" t="str">
        <f>'Exhibit B '!D2</f>
        <v>PI, Joe</v>
      </c>
      <c r="D7" s="234" t="s">
        <v>19</v>
      </c>
      <c r="E7" s="235" t="s">
        <v>161</v>
      </c>
      <c r="F7" s="236">
        <v>92000</v>
      </c>
      <c r="G7" s="237">
        <v>1</v>
      </c>
      <c r="H7" s="238" t="s">
        <v>17</v>
      </c>
      <c r="I7" s="236">
        <f>G7*F7</f>
        <v>92000</v>
      </c>
      <c r="J7" s="239">
        <v>0.2</v>
      </c>
      <c r="K7" s="156">
        <f>ROUND($F7*G7*J7,0)</f>
        <v>18400</v>
      </c>
      <c r="L7" s="343">
        <f>VLOOKUP(E7,'Budget Info &amp; Rates'!$D$3:$E$9,2,FALSE)</f>
        <v>0.42</v>
      </c>
      <c r="M7" s="289"/>
      <c r="N7" s="156">
        <f>ROUND(K7*L7,0)+M7</f>
        <v>7728</v>
      </c>
      <c r="O7" s="156">
        <f>ROUND(SUM(N7,K7),0)</f>
        <v>26128</v>
      </c>
      <c r="P7" s="42"/>
    </row>
    <row r="8" spans="1:17" x14ac:dyDescent="0.2">
      <c r="A8" s="12"/>
      <c r="B8" s="12"/>
      <c r="C8" s="291" t="s">
        <v>258</v>
      </c>
      <c r="D8" s="234" t="s">
        <v>256</v>
      </c>
      <c r="E8" s="235" t="s">
        <v>161</v>
      </c>
      <c r="F8" s="236">
        <v>88000</v>
      </c>
      <c r="G8" s="237">
        <v>1</v>
      </c>
      <c r="H8" s="238" t="s">
        <v>17</v>
      </c>
      <c r="I8" s="236">
        <f t="shared" ref="I8:I15" si="0">G8*F8</f>
        <v>88000</v>
      </c>
      <c r="J8" s="239">
        <v>0.1</v>
      </c>
      <c r="K8" s="156">
        <f t="shared" ref="K8:K11" si="1">ROUND($F8*G8*J8,0)</f>
        <v>8800</v>
      </c>
      <c r="L8" s="343">
        <f>VLOOKUP(E8,'Budget Info &amp; Rates'!$D$3:$E$9,2,FALSE)</f>
        <v>0.42</v>
      </c>
      <c r="M8" s="289"/>
      <c r="N8" s="156">
        <f t="shared" ref="N8:N18" si="2">ROUND(K8*L8,0)+M8</f>
        <v>3696</v>
      </c>
      <c r="O8" s="156">
        <f>ROUND(SUM(N8,K8),0)</f>
        <v>12496</v>
      </c>
      <c r="P8" s="268"/>
    </row>
    <row r="9" spans="1:17" x14ac:dyDescent="0.2">
      <c r="A9" s="12"/>
      <c r="B9" s="12"/>
      <c r="C9" s="291" t="s">
        <v>258</v>
      </c>
      <c r="D9" s="234" t="s">
        <v>256</v>
      </c>
      <c r="E9" s="235" t="s">
        <v>172</v>
      </c>
      <c r="F9" s="236">
        <v>92000</v>
      </c>
      <c r="G9" s="237">
        <v>0.33</v>
      </c>
      <c r="H9" s="238" t="s">
        <v>172</v>
      </c>
      <c r="I9" s="236">
        <f t="shared" si="0"/>
        <v>30360</v>
      </c>
      <c r="J9" s="239">
        <v>0.1</v>
      </c>
      <c r="K9" s="156">
        <f t="shared" si="1"/>
        <v>3036</v>
      </c>
      <c r="L9" s="343">
        <f>VLOOKUP(E9,'Budget Info &amp; Rates'!$D$3:$E$9,2,FALSE)</f>
        <v>0.12</v>
      </c>
      <c r="M9" s="289"/>
      <c r="N9" s="156">
        <f t="shared" si="2"/>
        <v>364</v>
      </c>
      <c r="O9" s="156">
        <f t="shared" ref="O9:O18" si="3">ROUND(SUM(N9,K9),0)</f>
        <v>3400</v>
      </c>
      <c r="P9" s="42"/>
    </row>
    <row r="10" spans="1:17" x14ac:dyDescent="0.2">
      <c r="A10" s="12"/>
      <c r="B10" s="12"/>
      <c r="C10" s="291" t="s">
        <v>141</v>
      </c>
      <c r="D10" s="234" t="s">
        <v>142</v>
      </c>
      <c r="E10" s="235" t="s">
        <v>162</v>
      </c>
      <c r="F10" s="236">
        <v>0</v>
      </c>
      <c r="G10" s="237">
        <v>1</v>
      </c>
      <c r="H10" s="238" t="s">
        <v>17</v>
      </c>
      <c r="I10" s="236">
        <f t="shared" si="0"/>
        <v>0</v>
      </c>
      <c r="J10" s="239">
        <v>0</v>
      </c>
      <c r="K10" s="156">
        <f t="shared" si="1"/>
        <v>0</v>
      </c>
      <c r="L10" s="343">
        <f>VLOOKUP(E10,'Budget Info &amp; Rates'!$D$3:$E$9,2,FALSE)</f>
        <v>0.4</v>
      </c>
      <c r="M10" s="289"/>
      <c r="N10" s="156">
        <f t="shared" si="2"/>
        <v>0</v>
      </c>
      <c r="O10" s="156">
        <f>ROUND(SUM(N10,K10),0)</f>
        <v>0</v>
      </c>
      <c r="P10" s="42"/>
      <c r="Q10" s="161"/>
    </row>
    <row r="11" spans="1:17" x14ac:dyDescent="0.2">
      <c r="A11" s="12"/>
      <c r="B11" s="12"/>
      <c r="C11" s="291" t="s">
        <v>143</v>
      </c>
      <c r="D11" s="234" t="s">
        <v>144</v>
      </c>
      <c r="E11" s="235" t="s">
        <v>174</v>
      </c>
      <c r="F11" s="236">
        <v>0</v>
      </c>
      <c r="G11" s="237">
        <v>1</v>
      </c>
      <c r="H11" s="238" t="s">
        <v>18</v>
      </c>
      <c r="I11" s="236">
        <f t="shared" si="0"/>
        <v>0</v>
      </c>
      <c r="J11" s="239">
        <v>0</v>
      </c>
      <c r="K11" s="156">
        <f t="shared" si="1"/>
        <v>0</v>
      </c>
      <c r="L11" s="343">
        <f>VLOOKUP(E11,'Budget Info &amp; Rates'!$D$3:$E$9,2,FALSE)</f>
        <v>0.45</v>
      </c>
      <c r="M11" s="289"/>
      <c r="N11" s="156">
        <f t="shared" si="2"/>
        <v>0</v>
      </c>
      <c r="O11" s="156">
        <f t="shared" si="3"/>
        <v>0</v>
      </c>
      <c r="P11" s="42"/>
    </row>
    <row r="12" spans="1:17" s="12" customFormat="1" x14ac:dyDescent="0.2">
      <c r="A12" s="66" t="s">
        <v>119</v>
      </c>
      <c r="B12" s="66"/>
      <c r="D12" s="151"/>
      <c r="E12" s="152"/>
      <c r="F12" s="13"/>
      <c r="G12" s="162"/>
      <c r="H12" s="58"/>
      <c r="I12" s="162"/>
      <c r="J12" s="360" t="s">
        <v>271</v>
      </c>
      <c r="K12" s="361">
        <f>SUM(K7:K11)</f>
        <v>30236</v>
      </c>
      <c r="L12" s="362"/>
      <c r="M12" s="363"/>
      <c r="N12" s="361">
        <f>SUM(N7:N11)</f>
        <v>11788</v>
      </c>
      <c r="O12" s="361">
        <f>SUM(O7:O11)</f>
        <v>42024</v>
      </c>
      <c r="P12" s="42"/>
    </row>
    <row r="13" spans="1:17" x14ac:dyDescent="0.2">
      <c r="A13" s="12"/>
      <c r="B13" s="12"/>
      <c r="C13" s="235" t="s">
        <v>259</v>
      </c>
      <c r="D13" s="234" t="s">
        <v>257</v>
      </c>
      <c r="E13" s="235" t="s">
        <v>174</v>
      </c>
      <c r="F13" s="236">
        <v>80000</v>
      </c>
      <c r="G13" s="237">
        <v>1</v>
      </c>
      <c r="H13" s="238" t="s">
        <v>18</v>
      </c>
      <c r="I13" s="236">
        <f>G13*F13</f>
        <v>80000</v>
      </c>
      <c r="J13" s="239">
        <v>0.5</v>
      </c>
      <c r="K13" s="156">
        <f>ROUND($F13*G13*J13,0)</f>
        <v>40000</v>
      </c>
      <c r="L13" s="343">
        <f>VLOOKUP(E13,'Budget Info &amp; Rates'!$D$3:$E$9,2,FALSE)</f>
        <v>0.45</v>
      </c>
      <c r="M13" s="289"/>
      <c r="N13" s="156">
        <f t="shared" si="2"/>
        <v>18000</v>
      </c>
      <c r="O13" s="156">
        <f>ROUND(SUM(N13,K13),0)</f>
        <v>58000</v>
      </c>
      <c r="P13" s="42"/>
    </row>
    <row r="14" spans="1:17" x14ac:dyDescent="0.2">
      <c r="A14" s="12"/>
      <c r="B14" s="12"/>
      <c r="C14" s="235" t="s">
        <v>147</v>
      </c>
      <c r="D14" s="234" t="s">
        <v>148</v>
      </c>
      <c r="E14" s="235" t="s">
        <v>174</v>
      </c>
      <c r="F14" s="236">
        <v>0</v>
      </c>
      <c r="G14" s="237">
        <v>1</v>
      </c>
      <c r="H14" s="238" t="s">
        <v>18</v>
      </c>
      <c r="I14" s="236">
        <f t="shared" si="0"/>
        <v>0</v>
      </c>
      <c r="J14" s="239">
        <v>0</v>
      </c>
      <c r="K14" s="156">
        <f>ROUND($F14*G14*J14*(1+O$1),0)</f>
        <v>0</v>
      </c>
      <c r="L14" s="343">
        <f>VLOOKUP(E14,'Budget Info &amp; Rates'!$D$3:$E$9,2,FALSE)</f>
        <v>0.45</v>
      </c>
      <c r="M14" s="289"/>
      <c r="N14" s="156">
        <f t="shared" si="2"/>
        <v>0</v>
      </c>
      <c r="O14" s="156">
        <f t="shared" si="3"/>
        <v>0</v>
      </c>
      <c r="P14" s="42"/>
    </row>
    <row r="15" spans="1:17" x14ac:dyDescent="0.2">
      <c r="A15" s="196" t="s">
        <v>51</v>
      </c>
      <c r="B15" s="351" t="s">
        <v>260</v>
      </c>
      <c r="C15" s="235" t="s">
        <v>120</v>
      </c>
      <c r="D15" s="234" t="s">
        <v>121</v>
      </c>
      <c r="E15" s="235" t="s">
        <v>174</v>
      </c>
      <c r="F15" s="236">
        <v>0</v>
      </c>
      <c r="G15" s="237">
        <v>1</v>
      </c>
      <c r="H15" s="238" t="s">
        <v>18</v>
      </c>
      <c r="I15" s="236">
        <f t="shared" si="0"/>
        <v>0</v>
      </c>
      <c r="J15" s="239">
        <v>0</v>
      </c>
      <c r="K15" s="156">
        <f>ROUND($F15*G15*J15*(1+O$1),0)</f>
        <v>0</v>
      </c>
      <c r="L15" s="343">
        <f>VLOOKUP(E15,'Budget Info &amp; Rates'!$D$3:$E$9,2,FALSE)</f>
        <v>0.45</v>
      </c>
      <c r="M15" s="289"/>
      <c r="N15" s="156">
        <f t="shared" si="2"/>
        <v>0</v>
      </c>
      <c r="O15" s="156">
        <f t="shared" ref="O15" si="4">ROUND(SUM(N15,K15),0)</f>
        <v>0</v>
      </c>
      <c r="P15" s="42"/>
    </row>
    <row r="16" spans="1:17" x14ac:dyDescent="0.2">
      <c r="A16" s="67">
        <v>3</v>
      </c>
      <c r="B16" s="67" t="s">
        <v>261</v>
      </c>
      <c r="C16" s="291" t="s">
        <v>149</v>
      </c>
      <c r="D16" s="234" t="s">
        <v>150</v>
      </c>
      <c r="E16" s="235" t="s">
        <v>163</v>
      </c>
      <c r="F16" s="236">
        <v>22000</v>
      </c>
      <c r="G16" s="240">
        <v>2080</v>
      </c>
      <c r="H16" s="238" t="s">
        <v>24</v>
      </c>
      <c r="I16" s="81">
        <f>F16/G16</f>
        <v>10.576923076923077</v>
      </c>
      <c r="J16" s="241">
        <v>1040</v>
      </c>
      <c r="K16" s="156">
        <f>J16*I16*A16</f>
        <v>33000</v>
      </c>
      <c r="L16" s="343">
        <f>VLOOKUP(E16,'Budget Info &amp; Rates'!$D$3:$E$9,2,FALSE)</f>
        <v>0.12</v>
      </c>
      <c r="M16" s="288">
        <f>IF(B16="N",0,A16*VLOOKUP(D16,'Budget Info &amp; Rates'!$D$23:$E$26,2,FALSE))</f>
        <v>0</v>
      </c>
      <c r="N16" s="156">
        <f>ROUND(K16*L16,0)+M16</f>
        <v>3960</v>
      </c>
      <c r="O16" s="156">
        <f>ROUND(SUM(N16,K16),0)</f>
        <v>36960</v>
      </c>
      <c r="P16" s="42"/>
    </row>
    <row r="17" spans="1:16" x14ac:dyDescent="0.2">
      <c r="A17" s="67">
        <v>4</v>
      </c>
      <c r="B17" s="67" t="s">
        <v>75</v>
      </c>
      <c r="C17" s="291" t="s">
        <v>151</v>
      </c>
      <c r="D17" s="234" t="s">
        <v>152</v>
      </c>
      <c r="E17" s="235" t="s">
        <v>163</v>
      </c>
      <c r="F17" s="236">
        <v>40000</v>
      </c>
      <c r="G17" s="237">
        <v>1</v>
      </c>
      <c r="H17" s="238" t="s">
        <v>18</v>
      </c>
      <c r="I17" s="236">
        <f t="shared" ref="I17:I18" si="5">G17*F17</f>
        <v>40000</v>
      </c>
      <c r="J17" s="239">
        <v>0.5</v>
      </c>
      <c r="K17" s="156">
        <f>ROUND(A17*$F17*G17*J17,0)</f>
        <v>80000</v>
      </c>
      <c r="L17" s="343">
        <f>VLOOKUP(E17,'Budget Info &amp; Rates'!$D$3:$E$9,2,FALSE)</f>
        <v>0.12</v>
      </c>
      <c r="M17" s="288">
        <f>IF(B17="N",0,A17*VLOOKUP(D17,'Budget Info &amp; Rates'!$D$23:$E$26,2,FALSE))</f>
        <v>72000</v>
      </c>
      <c r="N17" s="156">
        <f t="shared" si="2"/>
        <v>81600</v>
      </c>
      <c r="O17" s="156">
        <f t="shared" si="3"/>
        <v>161600</v>
      </c>
      <c r="P17" s="42"/>
    </row>
    <row r="18" spans="1:16" x14ac:dyDescent="0.2">
      <c r="A18" s="67">
        <v>1</v>
      </c>
      <c r="B18" s="67" t="s">
        <v>261</v>
      </c>
      <c r="C18" s="291" t="s">
        <v>158</v>
      </c>
      <c r="D18" s="234" t="s">
        <v>160</v>
      </c>
      <c r="E18" s="235" t="s">
        <v>163</v>
      </c>
      <c r="F18" s="236">
        <v>54000</v>
      </c>
      <c r="G18" s="237">
        <v>1</v>
      </c>
      <c r="H18" s="238" t="s">
        <v>18</v>
      </c>
      <c r="I18" s="236">
        <f t="shared" si="5"/>
        <v>54000</v>
      </c>
      <c r="J18" s="239">
        <v>0.75</v>
      </c>
      <c r="K18" s="156">
        <f>ROUND(A18*$F18*G18*J18,0)</f>
        <v>40500</v>
      </c>
      <c r="L18" s="343">
        <f>VLOOKUP(E18,'Budget Info &amp; Rates'!$D$3:$E$9,2,FALSE)</f>
        <v>0.12</v>
      </c>
      <c r="M18" s="289"/>
      <c r="N18" s="156">
        <f t="shared" si="2"/>
        <v>4860</v>
      </c>
      <c r="O18" s="156">
        <f t="shared" si="3"/>
        <v>45360</v>
      </c>
      <c r="P18" s="42"/>
    </row>
    <row r="19" spans="1:16" s="73" customFormat="1" x14ac:dyDescent="0.2">
      <c r="A19" s="68"/>
      <c r="B19" s="68"/>
      <c r="C19" s="69"/>
      <c r="D19" s="70"/>
      <c r="E19" s="159"/>
      <c r="F19" s="71"/>
      <c r="G19" s="163"/>
      <c r="H19" s="72"/>
      <c r="I19" s="163"/>
      <c r="J19" s="364" t="s">
        <v>272</v>
      </c>
      <c r="K19" s="361">
        <f>ROUND(SUM(K13:K18),0)</f>
        <v>193500</v>
      </c>
      <c r="L19" s="362"/>
      <c r="M19" s="363"/>
      <c r="N19" s="361">
        <f>ROUND(SUM(N13:N18),0)</f>
        <v>108420</v>
      </c>
      <c r="O19" s="361">
        <f>ROUND(SUM(O13:O18),0)</f>
        <v>301920</v>
      </c>
      <c r="P19" s="42"/>
    </row>
    <row r="20" spans="1:16" ht="13.5" thickBot="1" x14ac:dyDescent="0.25">
      <c r="A20" s="14"/>
      <c r="B20" s="14"/>
      <c r="C20" s="44" t="s">
        <v>123</v>
      </c>
      <c r="D20" s="45" t="str">
        <f>A5</f>
        <v>YEAR 1</v>
      </c>
      <c r="E20" s="74" t="s">
        <v>48</v>
      </c>
      <c r="F20" s="46"/>
      <c r="G20" s="164"/>
      <c r="H20" s="59"/>
      <c r="I20" s="164"/>
      <c r="J20" s="155"/>
      <c r="K20" s="158">
        <f>ROUND(SUM(K12,K19),0)</f>
        <v>223736</v>
      </c>
      <c r="L20" s="345">
        <f>IF(K20&lt;&gt;0,N20/K20,0)</f>
        <v>0.53727607537454858</v>
      </c>
      <c r="M20" s="295">
        <f>SUM(M7:M18)</f>
        <v>72000</v>
      </c>
      <c r="N20" s="158">
        <f>ROUND(SUM(N12,N19),0)</f>
        <v>120208</v>
      </c>
      <c r="O20" s="158">
        <f>SUM(O19,O12)</f>
        <v>343944</v>
      </c>
      <c r="P20" s="150">
        <f>O20-M20</f>
        <v>271944</v>
      </c>
    </row>
    <row r="21" spans="1:16" x14ac:dyDescent="0.2">
      <c r="A21" s="12"/>
      <c r="B21" s="12"/>
      <c r="C21" s="12"/>
      <c r="D21" s="12"/>
      <c r="E21" s="12"/>
      <c r="F21" s="50"/>
      <c r="G21" s="12"/>
      <c r="H21" s="60"/>
      <c r="I21" s="12"/>
      <c r="J21" s="12"/>
      <c r="K21" s="12"/>
      <c r="L21" s="377" t="s">
        <v>284</v>
      </c>
      <c r="M21" s="75"/>
      <c r="N21" s="378">
        <f>ROUND(SUM(K20,N20),0)</f>
        <v>343944</v>
      </c>
      <c r="O21" s="378">
        <f>O20-N21</f>
        <v>0</v>
      </c>
    </row>
    <row r="22" spans="1:16" x14ac:dyDescent="0.2">
      <c r="F22" s="50"/>
      <c r="L22" s="347" t="s">
        <v>170</v>
      </c>
      <c r="M22" s="15"/>
    </row>
    <row r="23" spans="1:16" s="197" customFormat="1" x14ac:dyDescent="0.2">
      <c r="A23" s="406" t="s">
        <v>110</v>
      </c>
      <c r="B23" s="406"/>
      <c r="C23" s="406"/>
      <c r="F23" s="198" t="s">
        <v>116</v>
      </c>
      <c r="G23" s="292" t="s">
        <v>21</v>
      </c>
      <c r="H23" s="293"/>
      <c r="I23" s="292" t="s">
        <v>201</v>
      </c>
      <c r="J23" s="199" t="s">
        <v>203</v>
      </c>
      <c r="K23" s="199" t="s">
        <v>23</v>
      </c>
      <c r="L23" s="199" t="s">
        <v>25</v>
      </c>
      <c r="M23" s="287" t="s">
        <v>238</v>
      </c>
      <c r="N23" s="207"/>
    </row>
    <row r="24" spans="1:16" s="197" customFormat="1" x14ac:dyDescent="0.2">
      <c r="A24" s="200" t="s">
        <v>207</v>
      </c>
      <c r="B24" s="200"/>
      <c r="C24" s="200"/>
      <c r="D24" s="201" t="s">
        <v>157</v>
      </c>
      <c r="E24" s="202" t="s">
        <v>20</v>
      </c>
      <c r="F24" s="203" t="s">
        <v>117</v>
      </c>
      <c r="G24" s="294" t="s">
        <v>87</v>
      </c>
      <c r="H24" s="294" t="s">
        <v>21</v>
      </c>
      <c r="I24" s="294" t="s">
        <v>202</v>
      </c>
      <c r="J24" s="204" t="s">
        <v>204</v>
      </c>
      <c r="K24" s="204" t="s">
        <v>86</v>
      </c>
      <c r="L24" s="205" t="s">
        <v>242</v>
      </c>
      <c r="M24" s="205" t="s">
        <v>239</v>
      </c>
      <c r="N24" s="204" t="s">
        <v>178</v>
      </c>
      <c r="O24" s="204" t="s">
        <v>179</v>
      </c>
      <c r="P24" s="206" t="s">
        <v>159</v>
      </c>
    </row>
    <row r="25" spans="1:16" x14ac:dyDescent="0.2">
      <c r="A25" s="12"/>
      <c r="B25" s="12"/>
      <c r="C25" s="291" t="str">
        <f t="shared" ref="C25:E26" si="6">C7</f>
        <v>PI, Joe</v>
      </c>
      <c r="D25" s="234" t="str">
        <f t="shared" si="6"/>
        <v>PI</v>
      </c>
      <c r="E25" s="235" t="str">
        <f t="shared" si="6"/>
        <v>TTF</v>
      </c>
      <c r="F25" s="236">
        <f>ROUND(F7*(1+$O$1),0)</f>
        <v>96600</v>
      </c>
      <c r="G25" s="237">
        <v>1</v>
      </c>
      <c r="H25" s="238" t="s">
        <v>18</v>
      </c>
      <c r="I25" s="236">
        <f>G25*F25</f>
        <v>96600</v>
      </c>
      <c r="J25" s="239">
        <v>0.2</v>
      </c>
      <c r="K25" s="156">
        <f>ROUND($F25*G25*J25,0)</f>
        <v>19320</v>
      </c>
      <c r="L25" s="343">
        <f>VLOOKUP(E25,'Budget Info &amp; Rates'!$D$3:$E$9,2,FALSE)</f>
        <v>0.42</v>
      </c>
      <c r="M25" s="289"/>
      <c r="N25" s="156">
        <f>ROUND(K25*L25,0)+M25</f>
        <v>8114</v>
      </c>
      <c r="O25" s="156">
        <f>ROUND(SUM(N25,K25),0)</f>
        <v>27434</v>
      </c>
      <c r="P25" s="42"/>
    </row>
    <row r="26" spans="1:16" x14ac:dyDescent="0.2">
      <c r="A26" s="12"/>
      <c r="B26" s="12"/>
      <c r="C26" s="291" t="str">
        <f t="shared" si="6"/>
        <v>Jane Co-PI</v>
      </c>
      <c r="D26" s="234" t="str">
        <f t="shared" si="6"/>
        <v>Co-PI</v>
      </c>
      <c r="E26" s="235" t="str">
        <f t="shared" si="6"/>
        <v>TTF</v>
      </c>
      <c r="F26" s="236">
        <f>ROUND(F8*(1+$O$1),0)</f>
        <v>92400</v>
      </c>
      <c r="G26" s="237">
        <v>1</v>
      </c>
      <c r="H26" s="238" t="s">
        <v>17</v>
      </c>
      <c r="I26" s="236">
        <f t="shared" ref="I26:I36" si="7">G26*F26</f>
        <v>92400</v>
      </c>
      <c r="J26" s="239">
        <v>0.1</v>
      </c>
      <c r="K26" s="156">
        <f>ROUND($F26*G26*J26*(1+O$1),0)</f>
        <v>9702</v>
      </c>
      <c r="L26" s="343">
        <f>VLOOKUP(E26,'Budget Info &amp; Rates'!$D$3:$E$9,2,FALSE)</f>
        <v>0.42</v>
      </c>
      <c r="M26" s="289"/>
      <c r="N26" s="156">
        <f>ROUND(K26*L26,0)+M26</f>
        <v>4075</v>
      </c>
      <c r="O26" s="156">
        <f t="shared" ref="O26:O29" si="8">ROUND(SUM(N26,K26),0)</f>
        <v>13777</v>
      </c>
      <c r="P26" s="269"/>
    </row>
    <row r="27" spans="1:16" x14ac:dyDescent="0.2">
      <c r="A27" s="12"/>
      <c r="B27" s="12"/>
      <c r="C27" s="291" t="str">
        <f t="shared" ref="C27:E27" si="9">C9</f>
        <v>Jane Co-PI</v>
      </c>
      <c r="D27" s="234" t="str">
        <f t="shared" si="9"/>
        <v>Co-PI</v>
      </c>
      <c r="E27" s="235" t="str">
        <f t="shared" si="9"/>
        <v>Sum</v>
      </c>
      <c r="F27" s="236">
        <f>ROUND(F9*(1+$O$1),0)</f>
        <v>96600</v>
      </c>
      <c r="G27" s="237">
        <v>0.25</v>
      </c>
      <c r="H27" s="238" t="s">
        <v>172</v>
      </c>
      <c r="I27" s="236">
        <f t="shared" si="7"/>
        <v>24150</v>
      </c>
      <c r="J27" s="239">
        <v>0.1</v>
      </c>
      <c r="K27" s="156">
        <f>ROUND($F27*G27*J27*(1+O$1),0)</f>
        <v>2536</v>
      </c>
      <c r="L27" s="343">
        <f>VLOOKUP(E27,'Budget Info &amp; Rates'!$D$3:$E$9,2,FALSE)</f>
        <v>0.12</v>
      </c>
      <c r="M27" s="289"/>
      <c r="N27" s="156">
        <f>ROUND(K27*L27,0)+M27</f>
        <v>304</v>
      </c>
      <c r="O27" s="156">
        <f t="shared" si="8"/>
        <v>2840</v>
      </c>
      <c r="P27" s="42"/>
    </row>
    <row r="28" spans="1:16" x14ac:dyDescent="0.2">
      <c r="A28" s="12"/>
      <c r="B28" s="12"/>
      <c r="C28" s="291" t="str">
        <f t="shared" ref="C28:E28" si="10">C10</f>
        <v>Name #4</v>
      </c>
      <c r="D28" s="234" t="str">
        <f t="shared" si="10"/>
        <v>Title #4</v>
      </c>
      <c r="E28" s="235" t="str">
        <f t="shared" si="10"/>
        <v>Lect</v>
      </c>
      <c r="F28" s="236">
        <f>ROUND(F10*(1+$O$1),0)</f>
        <v>0</v>
      </c>
      <c r="G28" s="237">
        <v>1</v>
      </c>
      <c r="H28" s="238" t="s">
        <v>17</v>
      </c>
      <c r="I28" s="236">
        <f t="shared" si="7"/>
        <v>0</v>
      </c>
      <c r="J28" s="239">
        <v>0</v>
      </c>
      <c r="K28" s="156">
        <f>ROUND($F28*G28*J28*(1+O$1),0)</f>
        <v>0</v>
      </c>
      <c r="L28" s="343">
        <f>VLOOKUP(E28,'Budget Info &amp; Rates'!$D$3:$E$9,2,FALSE)</f>
        <v>0.4</v>
      </c>
      <c r="M28" s="289"/>
      <c r="N28" s="156">
        <f>ROUND(K28*L28,0)+M28</f>
        <v>0</v>
      </c>
      <c r="O28" s="156">
        <f t="shared" si="8"/>
        <v>0</v>
      </c>
      <c r="P28" s="42"/>
    </row>
    <row r="29" spans="1:16" x14ac:dyDescent="0.2">
      <c r="A29" s="12"/>
      <c r="B29" s="12"/>
      <c r="C29" s="291" t="str">
        <f t="shared" ref="C29:E29" si="11">C11</f>
        <v>Name #5</v>
      </c>
      <c r="D29" s="234" t="str">
        <f t="shared" si="11"/>
        <v>Title #5</v>
      </c>
      <c r="E29" s="235" t="str">
        <f t="shared" si="11"/>
        <v>FTS</v>
      </c>
      <c r="F29" s="236">
        <f>ROUND(F11*(1+$O$1),0)</f>
        <v>0</v>
      </c>
      <c r="G29" s="237">
        <v>1</v>
      </c>
      <c r="H29" s="238" t="s">
        <v>18</v>
      </c>
      <c r="I29" s="236">
        <f t="shared" si="7"/>
        <v>0</v>
      </c>
      <c r="J29" s="239">
        <v>0</v>
      </c>
      <c r="K29" s="156">
        <f>ROUND($F29*G29*J29*(1+O$1),0)</f>
        <v>0</v>
      </c>
      <c r="L29" s="343">
        <f>VLOOKUP(E29,'Budget Info &amp; Rates'!$D$3:$E$9,2,FALSE)</f>
        <v>0.45</v>
      </c>
      <c r="M29" s="289"/>
      <c r="N29" s="156">
        <f>ROUND(K29*L29,0)+M29</f>
        <v>0</v>
      </c>
      <c r="O29" s="156">
        <f t="shared" si="8"/>
        <v>0</v>
      </c>
      <c r="P29" s="42"/>
    </row>
    <row r="30" spans="1:16" s="12" customFormat="1" x14ac:dyDescent="0.2">
      <c r="A30" s="66" t="s">
        <v>119</v>
      </c>
      <c r="B30" s="66"/>
      <c r="D30" s="151"/>
      <c r="E30" s="152"/>
      <c r="F30" s="13"/>
      <c r="G30" s="162"/>
      <c r="H30" s="58"/>
      <c r="I30" s="162"/>
      <c r="J30" s="360" t="s">
        <v>271</v>
      </c>
      <c r="K30" s="361">
        <f>SUM(K25:K29)</f>
        <v>31558</v>
      </c>
      <c r="L30" s="362"/>
      <c r="M30" s="363"/>
      <c r="N30" s="361">
        <f>SUM(N25:N29)</f>
        <v>12493</v>
      </c>
      <c r="O30" s="361">
        <f>SUM(O25:O29)</f>
        <v>44051</v>
      </c>
      <c r="P30" s="42"/>
    </row>
    <row r="31" spans="1:16" x14ac:dyDescent="0.2">
      <c r="A31" s="12"/>
      <c r="B31" s="12"/>
      <c r="C31" s="291" t="str">
        <f>C13</f>
        <v>Joe Tech</v>
      </c>
      <c r="D31" s="234" t="str">
        <f>D13</f>
        <v>Technician</v>
      </c>
      <c r="E31" s="235" t="str">
        <f>E13</f>
        <v>FTS</v>
      </c>
      <c r="F31" s="236">
        <f t="shared" ref="F31:F36" si="12">ROUND(F13*(1+$O$1),0)</f>
        <v>84000</v>
      </c>
      <c r="G31" s="237">
        <v>1</v>
      </c>
      <c r="H31" s="238" t="s">
        <v>18</v>
      </c>
      <c r="I31" s="236">
        <f>G31*F31</f>
        <v>84000</v>
      </c>
      <c r="J31" s="239">
        <v>0.5</v>
      </c>
      <c r="K31" s="156">
        <f>ROUND($F31*G31*J31*(1+O$1),0)</f>
        <v>44100</v>
      </c>
      <c r="L31" s="343">
        <f>VLOOKUP(E31,'Budget Info &amp; Rates'!$D$3:$E$9,2,FALSE)</f>
        <v>0.45</v>
      </c>
      <c r="M31" s="289"/>
      <c r="N31" s="156">
        <f t="shared" ref="N31:N36" si="13">ROUND(K31*L31,0)+M31</f>
        <v>19845</v>
      </c>
      <c r="O31" s="156">
        <f>ROUND(SUM(N31,K31),0)</f>
        <v>63945</v>
      </c>
      <c r="P31" s="42"/>
    </row>
    <row r="32" spans="1:16" x14ac:dyDescent="0.2">
      <c r="A32" s="12"/>
      <c r="B32" s="12"/>
      <c r="C32" s="291" t="str">
        <f t="shared" ref="C32:E32" si="14">C14</f>
        <v>Name #7</v>
      </c>
      <c r="D32" s="234" t="str">
        <f t="shared" si="14"/>
        <v>Title #7</v>
      </c>
      <c r="E32" s="235" t="str">
        <f t="shared" si="14"/>
        <v>FTS</v>
      </c>
      <c r="F32" s="236">
        <f t="shared" si="12"/>
        <v>0</v>
      </c>
      <c r="G32" s="237">
        <v>1</v>
      </c>
      <c r="H32" s="238" t="s">
        <v>18</v>
      </c>
      <c r="I32" s="236">
        <f t="shared" si="7"/>
        <v>0</v>
      </c>
      <c r="J32" s="239">
        <v>0</v>
      </c>
      <c r="K32" s="156">
        <f>ROUND($F32*G32*J32*(1+O$1),0)</f>
        <v>0</v>
      </c>
      <c r="L32" s="343">
        <f>VLOOKUP(E32,'Budget Info &amp; Rates'!$D$3:$E$9,2,FALSE)</f>
        <v>0.45</v>
      </c>
      <c r="M32" s="289"/>
      <c r="N32" s="156">
        <f t="shared" si="13"/>
        <v>0</v>
      </c>
      <c r="O32" s="156">
        <f t="shared" ref="O32:O36" si="15">ROUND(SUM(N32,K32),0)</f>
        <v>0</v>
      </c>
      <c r="P32" s="42"/>
    </row>
    <row r="33" spans="1:16" x14ac:dyDescent="0.2">
      <c r="A33" s="196" t="s">
        <v>51</v>
      </c>
      <c r="B33" s="351" t="s">
        <v>260</v>
      </c>
      <c r="C33" s="291" t="str">
        <f t="shared" ref="C33:E33" si="16">C15</f>
        <v>Name #8</v>
      </c>
      <c r="D33" s="234" t="str">
        <f t="shared" si="16"/>
        <v>Title #8</v>
      </c>
      <c r="E33" s="235" t="str">
        <f t="shared" si="16"/>
        <v>FTS</v>
      </c>
      <c r="F33" s="236">
        <f t="shared" si="12"/>
        <v>0</v>
      </c>
      <c r="G33" s="237">
        <v>1</v>
      </c>
      <c r="H33" s="238" t="s">
        <v>18</v>
      </c>
      <c r="I33" s="236">
        <f t="shared" si="7"/>
        <v>0</v>
      </c>
      <c r="J33" s="239">
        <v>0</v>
      </c>
      <c r="K33" s="156">
        <f>ROUND($F33*G33*J33*(1+O$1),0)</f>
        <v>0</v>
      </c>
      <c r="L33" s="343">
        <f>VLOOKUP(E33,'Budget Info &amp; Rates'!$D$3:$E$9,2,FALSE)</f>
        <v>0.45</v>
      </c>
      <c r="M33" s="289"/>
      <c r="N33" s="156">
        <f t="shared" si="13"/>
        <v>0</v>
      </c>
      <c r="O33" s="156">
        <f t="shared" si="15"/>
        <v>0</v>
      </c>
      <c r="P33" s="42"/>
    </row>
    <row r="34" spans="1:16" x14ac:dyDescent="0.2">
      <c r="A34" s="67">
        <v>3</v>
      </c>
      <c r="B34" s="67" t="s">
        <v>261</v>
      </c>
      <c r="C34" s="291" t="str">
        <f t="shared" ref="C34:E34" si="17">C16</f>
        <v>Undergrad Student Asst</v>
      </c>
      <c r="D34" s="234" t="str">
        <f t="shared" si="17"/>
        <v>SA</v>
      </c>
      <c r="E34" s="235" t="str">
        <f t="shared" si="17"/>
        <v>PT</v>
      </c>
      <c r="F34" s="236">
        <f t="shared" si="12"/>
        <v>23100</v>
      </c>
      <c r="G34" s="240">
        <v>2080</v>
      </c>
      <c r="H34" s="238" t="s">
        <v>24</v>
      </c>
      <c r="I34" s="81">
        <f>F34/G34</f>
        <v>11.10576923076923</v>
      </c>
      <c r="J34" s="241">
        <v>1040</v>
      </c>
      <c r="K34" s="156">
        <f>J34*I34</f>
        <v>11550</v>
      </c>
      <c r="L34" s="343">
        <f>VLOOKUP(E34,'Budget Info &amp; Rates'!$D$3:$E$9,2,FALSE)</f>
        <v>0.12</v>
      </c>
      <c r="M34" s="288">
        <f>IF(B34="N",0,A34*VLOOKUP(D34,'Budget Info &amp; Rates'!$D$23:$E$26,2,FALSE))</f>
        <v>0</v>
      </c>
      <c r="N34" s="156">
        <f t="shared" si="13"/>
        <v>1386</v>
      </c>
      <c r="O34" s="156">
        <f t="shared" si="15"/>
        <v>12936</v>
      </c>
      <c r="P34" s="42"/>
    </row>
    <row r="35" spans="1:16" x14ac:dyDescent="0.2">
      <c r="A35" s="67">
        <v>4</v>
      </c>
      <c r="B35" s="67" t="s">
        <v>75</v>
      </c>
      <c r="C35" s="291" t="str">
        <f t="shared" ref="C35:E35" si="18">C17</f>
        <v>Grad Student Asst</v>
      </c>
      <c r="D35" s="234" t="str">
        <f t="shared" si="18"/>
        <v>GSA</v>
      </c>
      <c r="E35" s="235" t="str">
        <f t="shared" si="18"/>
        <v>PT</v>
      </c>
      <c r="F35" s="236">
        <f t="shared" si="12"/>
        <v>42000</v>
      </c>
      <c r="G35" s="237">
        <v>1</v>
      </c>
      <c r="H35" s="238" t="s">
        <v>18</v>
      </c>
      <c r="I35" s="236">
        <f t="shared" ref="I35" si="19">G35*F35</f>
        <v>42000</v>
      </c>
      <c r="J35" s="239">
        <v>0.5</v>
      </c>
      <c r="K35" s="156">
        <f>ROUND(A35*$F35*G35*J35,0)</f>
        <v>84000</v>
      </c>
      <c r="L35" s="343">
        <f>VLOOKUP(E35,'Budget Info &amp; Rates'!$D$3:$E$9,2,FALSE)</f>
        <v>0.12</v>
      </c>
      <c r="M35" s="288">
        <f>IF(B35="N",0,A35*VLOOKUP(D35,'Budget Info &amp; Rates'!$D$23:$E$26,2,FALSE))</f>
        <v>72000</v>
      </c>
      <c r="N35" s="156">
        <f t="shared" si="13"/>
        <v>82080</v>
      </c>
      <c r="O35" s="156">
        <f t="shared" si="15"/>
        <v>166080</v>
      </c>
      <c r="P35" s="42"/>
    </row>
    <row r="36" spans="1:16" x14ac:dyDescent="0.2">
      <c r="A36" s="67">
        <v>1</v>
      </c>
      <c r="B36" s="67" t="s">
        <v>261</v>
      </c>
      <c r="C36" s="291" t="str">
        <f t="shared" ref="C36:E36" si="20">C18</f>
        <v>Post Docs</v>
      </c>
      <c r="D36" s="234" t="str">
        <f t="shared" si="20"/>
        <v>Post Doc</v>
      </c>
      <c r="E36" s="235" t="str">
        <f t="shared" si="20"/>
        <v>PT</v>
      </c>
      <c r="F36" s="236">
        <f t="shared" si="12"/>
        <v>56700</v>
      </c>
      <c r="G36" s="237">
        <v>1</v>
      </c>
      <c r="H36" s="238" t="s">
        <v>18</v>
      </c>
      <c r="I36" s="236">
        <f t="shared" si="7"/>
        <v>56700</v>
      </c>
      <c r="J36" s="239">
        <v>0.5</v>
      </c>
      <c r="K36" s="156">
        <f>ROUND(A36*$F36*G36*J36,0)</f>
        <v>28350</v>
      </c>
      <c r="L36" s="343">
        <f>VLOOKUP(E36,'Budget Info &amp; Rates'!$D$3:$E$9,2,FALSE)</f>
        <v>0.12</v>
      </c>
      <c r="M36" s="289"/>
      <c r="N36" s="156">
        <f t="shared" si="13"/>
        <v>3402</v>
      </c>
      <c r="O36" s="156">
        <f t="shared" si="15"/>
        <v>31752</v>
      </c>
      <c r="P36" s="42"/>
    </row>
    <row r="37" spans="1:16" s="73" customFormat="1" x14ac:dyDescent="0.2">
      <c r="A37" s="68"/>
      <c r="B37" s="68"/>
      <c r="C37" s="69"/>
      <c r="D37" s="70"/>
      <c r="E37" s="159"/>
      <c r="F37" s="71"/>
      <c r="G37" s="163"/>
      <c r="H37" s="72"/>
      <c r="I37" s="163"/>
      <c r="J37" s="364" t="s">
        <v>272</v>
      </c>
      <c r="K37" s="361">
        <f>ROUND(SUM(K31:K36),0)</f>
        <v>168000</v>
      </c>
      <c r="L37" s="362"/>
      <c r="M37" s="363"/>
      <c r="N37" s="361">
        <f>ROUND(SUM(N31:N36),0)</f>
        <v>106713</v>
      </c>
      <c r="O37" s="361">
        <f>ROUND(SUM(O31:O36),0)</f>
        <v>274713</v>
      </c>
      <c r="P37" s="42"/>
    </row>
    <row r="38" spans="1:16" ht="13.5" thickBot="1" x14ac:dyDescent="0.25">
      <c r="A38" s="14"/>
      <c r="B38" s="14"/>
      <c r="C38" s="44" t="s">
        <v>123</v>
      </c>
      <c r="D38" s="45" t="str">
        <f>A23</f>
        <v>YEAR 2</v>
      </c>
      <c r="E38" s="74" t="s">
        <v>124</v>
      </c>
      <c r="F38" s="46"/>
      <c r="G38" s="164"/>
      <c r="H38" s="59"/>
      <c r="I38" s="164"/>
      <c r="J38" s="155"/>
      <c r="K38" s="158">
        <f>ROUND(SUM(K30,K37),0)</f>
        <v>199558</v>
      </c>
      <c r="L38" s="345">
        <f>IF(K38&lt;&gt;0,N38/K38,0)</f>
        <v>0.59735014381783746</v>
      </c>
      <c r="M38" s="295">
        <f>SUM(M25:M36)</f>
        <v>72000</v>
      </c>
      <c r="N38" s="158">
        <f>ROUND(SUM(N30,N37),0)</f>
        <v>119206</v>
      </c>
      <c r="O38" s="158">
        <f>SUM(O37,O30)</f>
        <v>318764</v>
      </c>
      <c r="P38" s="150">
        <f>O38-M38</f>
        <v>246764</v>
      </c>
    </row>
    <row r="39" spans="1:16" x14ac:dyDescent="0.2">
      <c r="A39" s="12"/>
      <c r="B39" s="12"/>
      <c r="C39" s="12"/>
      <c r="D39" s="12"/>
      <c r="E39" s="12"/>
      <c r="F39" s="50"/>
      <c r="G39" s="12"/>
      <c r="H39" s="60"/>
      <c r="I39" s="12"/>
      <c r="J39" s="12"/>
      <c r="K39" s="12"/>
      <c r="L39" s="377" t="s">
        <v>284</v>
      </c>
      <c r="M39" s="75"/>
      <c r="N39" s="378">
        <f>ROUND(SUM(K38,N38),0)</f>
        <v>318764</v>
      </c>
      <c r="O39" s="378">
        <f>O38-N39</f>
        <v>0</v>
      </c>
    </row>
    <row r="40" spans="1:16" x14ac:dyDescent="0.2">
      <c r="L40" s="347" t="s">
        <v>170</v>
      </c>
      <c r="M40" s="15"/>
      <c r="N40" s="280"/>
    </row>
    <row r="41" spans="1:16" s="197" customFormat="1" x14ac:dyDescent="0.2">
      <c r="A41" s="406" t="s">
        <v>111</v>
      </c>
      <c r="B41" s="406"/>
      <c r="C41" s="406"/>
      <c r="F41" s="198" t="s">
        <v>116</v>
      </c>
      <c r="G41" s="292" t="s">
        <v>21</v>
      </c>
      <c r="H41" s="293"/>
      <c r="I41" s="292" t="s">
        <v>201</v>
      </c>
      <c r="J41" s="199" t="s">
        <v>203</v>
      </c>
      <c r="K41" s="199" t="s">
        <v>23</v>
      </c>
      <c r="L41" s="199" t="s">
        <v>25</v>
      </c>
      <c r="M41" s="287" t="s">
        <v>238</v>
      </c>
      <c r="N41" s="207"/>
    </row>
    <row r="42" spans="1:16" s="197" customFormat="1" x14ac:dyDescent="0.2">
      <c r="A42" s="200" t="s">
        <v>207</v>
      </c>
      <c r="B42" s="200"/>
      <c r="C42" s="200"/>
      <c r="D42" s="201" t="s">
        <v>157</v>
      </c>
      <c r="E42" s="202" t="s">
        <v>20</v>
      </c>
      <c r="F42" s="203" t="s">
        <v>117</v>
      </c>
      <c r="G42" s="294" t="s">
        <v>87</v>
      </c>
      <c r="H42" s="294" t="s">
        <v>21</v>
      </c>
      <c r="I42" s="294" t="s">
        <v>202</v>
      </c>
      <c r="J42" s="204" t="s">
        <v>204</v>
      </c>
      <c r="K42" s="204" t="s">
        <v>86</v>
      </c>
      <c r="L42" s="205" t="s">
        <v>242</v>
      </c>
      <c r="M42" s="205" t="s">
        <v>239</v>
      </c>
      <c r="N42" s="204" t="s">
        <v>178</v>
      </c>
      <c r="O42" s="204" t="s">
        <v>179</v>
      </c>
      <c r="P42" s="206" t="s">
        <v>27</v>
      </c>
    </row>
    <row r="43" spans="1:16" x14ac:dyDescent="0.2">
      <c r="A43" s="12"/>
      <c r="B43" s="12"/>
      <c r="C43" s="291" t="str">
        <f t="shared" ref="C43:E44" si="21">C25</f>
        <v>PI, Joe</v>
      </c>
      <c r="D43" s="234" t="str">
        <f t="shared" si="21"/>
        <v>PI</v>
      </c>
      <c r="E43" s="235" t="str">
        <f t="shared" si="21"/>
        <v>TTF</v>
      </c>
      <c r="F43" s="236">
        <f>ROUND(F25*(1+$O$1),0)</f>
        <v>101430</v>
      </c>
      <c r="G43" s="237">
        <v>1</v>
      </c>
      <c r="H43" s="238" t="s">
        <v>17</v>
      </c>
      <c r="I43" s="236">
        <f>G43*F43</f>
        <v>101430</v>
      </c>
      <c r="J43" s="239">
        <v>0.1</v>
      </c>
      <c r="K43" s="156">
        <f>ROUND($F43*G43*J43,0)</f>
        <v>10143</v>
      </c>
      <c r="L43" s="343">
        <f>VLOOKUP(E43,'Budget Info &amp; Rates'!$D$3:$E$9,2,FALSE)</f>
        <v>0.42</v>
      </c>
      <c r="M43" s="289"/>
      <c r="N43" s="156">
        <f>ROUND(K43*L43,0)+M43</f>
        <v>4260</v>
      </c>
      <c r="O43" s="156">
        <f>ROUND(SUM(N43,K43),0)</f>
        <v>14403</v>
      </c>
      <c r="P43" s="42"/>
    </row>
    <row r="44" spans="1:16" x14ac:dyDescent="0.2">
      <c r="A44" s="12"/>
      <c r="B44" s="12"/>
      <c r="C44" s="291" t="str">
        <f t="shared" si="21"/>
        <v>Jane Co-PI</v>
      </c>
      <c r="D44" s="234" t="str">
        <f t="shared" si="21"/>
        <v>Co-PI</v>
      </c>
      <c r="E44" s="235" t="str">
        <f t="shared" si="21"/>
        <v>TTF</v>
      </c>
      <c r="F44" s="236">
        <f>ROUND(F26*(1+$O$1),0)</f>
        <v>97020</v>
      </c>
      <c r="G44" s="237">
        <v>1</v>
      </c>
      <c r="H44" s="238" t="s">
        <v>17</v>
      </c>
      <c r="I44" s="236">
        <f t="shared" ref="I44:I54" si="22">G44*F44</f>
        <v>97020</v>
      </c>
      <c r="J44" s="239">
        <v>0.05</v>
      </c>
      <c r="K44" s="156">
        <f>ROUND($F44*G44*J44*(1+O$1),0)</f>
        <v>5094</v>
      </c>
      <c r="L44" s="343">
        <f>VLOOKUP(E44,'Budget Info &amp; Rates'!$D$3:$E$9,2,FALSE)</f>
        <v>0.42</v>
      </c>
      <c r="M44" s="289"/>
      <c r="N44" s="156">
        <f t="shared" ref="N44:N54" si="23">ROUND(K44*L44,0)+M44</f>
        <v>2139</v>
      </c>
      <c r="O44" s="156">
        <f t="shared" ref="O44:O47" si="24">ROUND(SUM(N44,K44),0)</f>
        <v>7233</v>
      </c>
      <c r="P44" s="42"/>
    </row>
    <row r="45" spans="1:16" x14ac:dyDescent="0.2">
      <c r="A45" s="12"/>
      <c r="B45" s="12"/>
      <c r="C45" s="291" t="str">
        <f t="shared" ref="C45:E45" si="25">C27</f>
        <v>Jane Co-PI</v>
      </c>
      <c r="D45" s="234" t="str">
        <f t="shared" si="25"/>
        <v>Co-PI</v>
      </c>
      <c r="E45" s="235" t="str">
        <f t="shared" si="25"/>
        <v>Sum</v>
      </c>
      <c r="F45" s="236">
        <f>ROUND(F27*(1+$O$1),0)</f>
        <v>101430</v>
      </c>
      <c r="G45" s="237">
        <v>0.25</v>
      </c>
      <c r="H45" s="238" t="s">
        <v>172</v>
      </c>
      <c r="I45" s="236">
        <f t="shared" si="22"/>
        <v>25357.5</v>
      </c>
      <c r="J45" s="239">
        <v>0.05</v>
      </c>
      <c r="K45" s="156">
        <f>ROUND($F45*G45*J45*(1+O$1),0)</f>
        <v>1331</v>
      </c>
      <c r="L45" s="343">
        <f>VLOOKUP(E45,'Budget Info &amp; Rates'!$D$3:$E$9,2,FALSE)</f>
        <v>0.12</v>
      </c>
      <c r="M45" s="289"/>
      <c r="N45" s="156">
        <f t="shared" si="23"/>
        <v>160</v>
      </c>
      <c r="O45" s="156">
        <f t="shared" si="24"/>
        <v>1491</v>
      </c>
      <c r="P45" s="42"/>
    </row>
    <row r="46" spans="1:16" x14ac:dyDescent="0.2">
      <c r="A46" s="12"/>
      <c r="B46" s="12"/>
      <c r="C46" s="291" t="str">
        <f t="shared" ref="C46:E46" si="26">C28</f>
        <v>Name #4</v>
      </c>
      <c r="D46" s="234" t="str">
        <f t="shared" si="26"/>
        <v>Title #4</v>
      </c>
      <c r="E46" s="235" t="str">
        <f t="shared" si="26"/>
        <v>Lect</v>
      </c>
      <c r="F46" s="236">
        <f>ROUND(F28*(1+$O$1),0)</f>
        <v>0</v>
      </c>
      <c r="G46" s="237">
        <v>0.5</v>
      </c>
      <c r="H46" s="238" t="s">
        <v>17</v>
      </c>
      <c r="I46" s="236">
        <f t="shared" si="22"/>
        <v>0</v>
      </c>
      <c r="J46" s="239">
        <v>0</v>
      </c>
      <c r="K46" s="156">
        <f>ROUND($F46*G46*J46*(1+O$1),0)</f>
        <v>0</v>
      </c>
      <c r="L46" s="343">
        <f>VLOOKUP(E46,'Budget Info &amp; Rates'!$D$3:$E$9,2,FALSE)</f>
        <v>0.4</v>
      </c>
      <c r="M46" s="289"/>
      <c r="N46" s="156">
        <f t="shared" si="23"/>
        <v>0</v>
      </c>
      <c r="O46" s="156">
        <f t="shared" si="24"/>
        <v>0</v>
      </c>
      <c r="P46" s="42"/>
    </row>
    <row r="47" spans="1:16" x14ac:dyDescent="0.2">
      <c r="A47" s="12"/>
      <c r="B47" s="12"/>
      <c r="C47" s="291" t="str">
        <f t="shared" ref="C47:E47" si="27">C29</f>
        <v>Name #5</v>
      </c>
      <c r="D47" s="234" t="str">
        <f t="shared" si="27"/>
        <v>Title #5</v>
      </c>
      <c r="E47" s="235" t="str">
        <f t="shared" si="27"/>
        <v>FTS</v>
      </c>
      <c r="F47" s="236">
        <f>ROUND(F29*(1+$O$1),0)</f>
        <v>0</v>
      </c>
      <c r="G47" s="237">
        <v>1</v>
      </c>
      <c r="H47" s="238" t="s">
        <v>18</v>
      </c>
      <c r="I47" s="236">
        <f t="shared" si="22"/>
        <v>0</v>
      </c>
      <c r="J47" s="239">
        <v>0</v>
      </c>
      <c r="K47" s="156">
        <f>ROUND($F47*G47*J47*(1+O$1),0)</f>
        <v>0</v>
      </c>
      <c r="L47" s="343">
        <f>VLOOKUP(E47,'Budget Info &amp; Rates'!$D$3:$E$9,2,FALSE)</f>
        <v>0.45</v>
      </c>
      <c r="M47" s="289"/>
      <c r="N47" s="156">
        <f t="shared" si="23"/>
        <v>0</v>
      </c>
      <c r="O47" s="156">
        <f t="shared" si="24"/>
        <v>0</v>
      </c>
      <c r="P47" s="42"/>
    </row>
    <row r="48" spans="1:16" s="12" customFormat="1" x14ac:dyDescent="0.2">
      <c r="A48" s="66" t="s">
        <v>119</v>
      </c>
      <c r="B48" s="66"/>
      <c r="D48" s="151"/>
      <c r="E48" s="152"/>
      <c r="F48" s="13"/>
      <c r="G48" s="162"/>
      <c r="H48" s="58"/>
      <c r="I48" s="162"/>
      <c r="J48" s="360" t="s">
        <v>271</v>
      </c>
      <c r="K48" s="361">
        <f>SUM(K43:K47)</f>
        <v>16568</v>
      </c>
      <c r="L48" s="362"/>
      <c r="M48" s="363"/>
      <c r="N48" s="361">
        <f>SUM(N43:N47)</f>
        <v>6559</v>
      </c>
      <c r="O48" s="361">
        <f>SUM(O43:O47)</f>
        <v>23127</v>
      </c>
      <c r="P48" s="42"/>
    </row>
    <row r="49" spans="1:16" x14ac:dyDescent="0.2">
      <c r="A49" s="12"/>
      <c r="B49" s="12"/>
      <c r="C49" s="291" t="str">
        <f>C31</f>
        <v>Joe Tech</v>
      </c>
      <c r="D49" s="234" t="str">
        <f>D31</f>
        <v>Technician</v>
      </c>
      <c r="E49" s="235" t="str">
        <f>E31</f>
        <v>FTS</v>
      </c>
      <c r="F49" s="236">
        <f t="shared" ref="F49:F54" si="28">ROUND(F31*(1+$O$1),0)</f>
        <v>88200</v>
      </c>
      <c r="G49" s="237">
        <v>1</v>
      </c>
      <c r="H49" s="238" t="s">
        <v>18</v>
      </c>
      <c r="I49" s="236">
        <f>G49*F49</f>
        <v>88200</v>
      </c>
      <c r="J49" s="239">
        <v>0.25</v>
      </c>
      <c r="K49" s="156">
        <f>ROUND($F49*G49*J49*(1+O$1),0)</f>
        <v>23153</v>
      </c>
      <c r="L49" s="343">
        <f>VLOOKUP(E49,'Budget Info &amp; Rates'!$D$3:$E$9,2,FALSE)</f>
        <v>0.45</v>
      </c>
      <c r="M49" s="289"/>
      <c r="N49" s="156">
        <f t="shared" si="23"/>
        <v>10419</v>
      </c>
      <c r="O49" s="156">
        <f>ROUND(SUM(N49,K49),0)</f>
        <v>33572</v>
      </c>
      <c r="P49" s="42"/>
    </row>
    <row r="50" spans="1:16" x14ac:dyDescent="0.2">
      <c r="A50" s="12"/>
      <c r="B50" s="12"/>
      <c r="C50" s="291" t="str">
        <f t="shared" ref="C50:E50" si="29">C32</f>
        <v>Name #7</v>
      </c>
      <c r="D50" s="234" t="str">
        <f t="shared" si="29"/>
        <v>Title #7</v>
      </c>
      <c r="E50" s="235" t="str">
        <f t="shared" si="29"/>
        <v>FTS</v>
      </c>
      <c r="F50" s="236">
        <f t="shared" si="28"/>
        <v>0</v>
      </c>
      <c r="G50" s="237">
        <v>1</v>
      </c>
      <c r="H50" s="238" t="s">
        <v>18</v>
      </c>
      <c r="I50" s="236">
        <f t="shared" si="22"/>
        <v>0</v>
      </c>
      <c r="J50" s="239">
        <v>0</v>
      </c>
      <c r="K50" s="156">
        <f>ROUND($F50*G50*J50*(1+O$1),0)</f>
        <v>0</v>
      </c>
      <c r="L50" s="343">
        <f>VLOOKUP(E50,'Budget Info &amp; Rates'!$D$3:$E$9,2,FALSE)</f>
        <v>0.45</v>
      </c>
      <c r="M50" s="289"/>
      <c r="N50" s="156">
        <f t="shared" si="23"/>
        <v>0</v>
      </c>
      <c r="O50" s="156">
        <f t="shared" ref="O50:O54" si="30">ROUND(SUM(N50,K50),0)</f>
        <v>0</v>
      </c>
      <c r="P50" s="42"/>
    </row>
    <row r="51" spans="1:16" x14ac:dyDescent="0.2">
      <c r="A51" s="196" t="s">
        <v>51</v>
      </c>
      <c r="B51" s="351" t="s">
        <v>260</v>
      </c>
      <c r="C51" s="291" t="str">
        <f t="shared" ref="C51:E51" si="31">C33</f>
        <v>Name #8</v>
      </c>
      <c r="D51" s="234" t="str">
        <f t="shared" si="31"/>
        <v>Title #8</v>
      </c>
      <c r="E51" s="235" t="str">
        <f t="shared" si="31"/>
        <v>FTS</v>
      </c>
      <c r="F51" s="236">
        <f t="shared" si="28"/>
        <v>0</v>
      </c>
      <c r="G51" s="237">
        <v>1</v>
      </c>
      <c r="H51" s="238" t="s">
        <v>18</v>
      </c>
      <c r="I51" s="236">
        <f t="shared" si="22"/>
        <v>0</v>
      </c>
      <c r="J51" s="239">
        <v>0</v>
      </c>
      <c r="K51" s="156">
        <f>ROUND($F51*G51*J51*(1+O$1),0)</f>
        <v>0</v>
      </c>
      <c r="L51" s="343">
        <f>VLOOKUP(E51,'Budget Info &amp; Rates'!$D$3:$E$9,2,FALSE)</f>
        <v>0.45</v>
      </c>
      <c r="M51" s="289"/>
      <c r="N51" s="156">
        <f t="shared" si="23"/>
        <v>0</v>
      </c>
      <c r="O51" s="156">
        <f t="shared" si="30"/>
        <v>0</v>
      </c>
      <c r="P51" s="42"/>
    </row>
    <row r="52" spans="1:16" x14ac:dyDescent="0.2">
      <c r="A52" s="67">
        <v>2</v>
      </c>
      <c r="B52" s="67" t="s">
        <v>261</v>
      </c>
      <c r="C52" s="291" t="str">
        <f t="shared" ref="C52:E52" si="32">C34</f>
        <v>Undergrad Student Asst</v>
      </c>
      <c r="D52" s="234" t="str">
        <f t="shared" si="32"/>
        <v>SA</v>
      </c>
      <c r="E52" s="235" t="str">
        <f t="shared" si="32"/>
        <v>PT</v>
      </c>
      <c r="F52" s="236">
        <f t="shared" si="28"/>
        <v>24255</v>
      </c>
      <c r="G52" s="240">
        <v>2080</v>
      </c>
      <c r="H52" s="238" t="s">
        <v>24</v>
      </c>
      <c r="I52" s="81">
        <f>F52/G52</f>
        <v>11.661057692307692</v>
      </c>
      <c r="J52" s="241">
        <v>1000</v>
      </c>
      <c r="K52" s="156">
        <f>J52*I52</f>
        <v>11661.057692307691</v>
      </c>
      <c r="L52" s="343">
        <f>VLOOKUP(E52,'Budget Info &amp; Rates'!$D$3:$E$9,2,FALSE)</f>
        <v>0.12</v>
      </c>
      <c r="M52" s="288">
        <f>IF(B52="N",0,A52*VLOOKUP(D52,'Budget Info &amp; Rates'!$D$23:$E$26,2,FALSE))</f>
        <v>0</v>
      </c>
      <c r="N52" s="156">
        <f>ROUND(K52*L52,0)+M52</f>
        <v>1399</v>
      </c>
      <c r="O52" s="156">
        <f t="shared" si="30"/>
        <v>13060</v>
      </c>
      <c r="P52" s="42"/>
    </row>
    <row r="53" spans="1:16" x14ac:dyDescent="0.2">
      <c r="A53" s="67">
        <v>2</v>
      </c>
      <c r="B53" s="67" t="s">
        <v>75</v>
      </c>
      <c r="C53" s="291" t="str">
        <f t="shared" ref="C53:E53" si="33">C35</f>
        <v>Grad Student Asst</v>
      </c>
      <c r="D53" s="234" t="str">
        <f t="shared" si="33"/>
        <v>GSA</v>
      </c>
      <c r="E53" s="235" t="str">
        <f t="shared" si="33"/>
        <v>PT</v>
      </c>
      <c r="F53" s="236">
        <f t="shared" si="28"/>
        <v>44100</v>
      </c>
      <c r="G53" s="237">
        <v>1</v>
      </c>
      <c r="H53" s="238" t="s">
        <v>18</v>
      </c>
      <c r="I53" s="236">
        <f t="shared" ref="I53" si="34">G53*F53</f>
        <v>44100</v>
      </c>
      <c r="J53" s="239">
        <v>0.5</v>
      </c>
      <c r="K53" s="156">
        <f>ROUND(A53*$F53*G53*J53,0)</f>
        <v>44100</v>
      </c>
      <c r="L53" s="343">
        <f>VLOOKUP(E53,'Budget Info &amp; Rates'!$D$3:$E$9,2,FALSE)</f>
        <v>0.12</v>
      </c>
      <c r="M53" s="288">
        <f>IF(B53="N",0,A53*VLOOKUP(D53,'Budget Info &amp; Rates'!$D$23:$E$26,2,FALSE))</f>
        <v>36000</v>
      </c>
      <c r="N53" s="156">
        <f t="shared" si="23"/>
        <v>41292</v>
      </c>
      <c r="O53" s="156">
        <f t="shared" si="30"/>
        <v>85392</v>
      </c>
      <c r="P53" s="42"/>
    </row>
    <row r="54" spans="1:16" x14ac:dyDescent="0.2">
      <c r="A54" s="67">
        <v>1</v>
      </c>
      <c r="B54" s="67" t="s">
        <v>261</v>
      </c>
      <c r="C54" s="291" t="str">
        <f t="shared" ref="C54:E54" si="35">C36</f>
        <v>Post Docs</v>
      </c>
      <c r="D54" s="234" t="str">
        <f t="shared" si="35"/>
        <v>Post Doc</v>
      </c>
      <c r="E54" s="235" t="str">
        <f t="shared" si="35"/>
        <v>PT</v>
      </c>
      <c r="F54" s="236">
        <f t="shared" si="28"/>
        <v>59535</v>
      </c>
      <c r="G54" s="237">
        <v>1</v>
      </c>
      <c r="H54" s="238" t="s">
        <v>18</v>
      </c>
      <c r="I54" s="236">
        <f t="shared" si="22"/>
        <v>59535</v>
      </c>
      <c r="J54" s="239">
        <v>0.25</v>
      </c>
      <c r="K54" s="156">
        <f>ROUND(A54*$F54*G54*J54,0)</f>
        <v>14884</v>
      </c>
      <c r="L54" s="343">
        <f>VLOOKUP(E54,'Budget Info &amp; Rates'!$D$3:$E$9,2,FALSE)</f>
        <v>0.12</v>
      </c>
      <c r="M54" s="289"/>
      <c r="N54" s="156">
        <f t="shared" si="23"/>
        <v>1786</v>
      </c>
      <c r="O54" s="156">
        <f t="shared" si="30"/>
        <v>16670</v>
      </c>
      <c r="P54" s="42"/>
    </row>
    <row r="55" spans="1:16" s="73" customFormat="1" x14ac:dyDescent="0.2">
      <c r="A55" s="68"/>
      <c r="B55" s="68"/>
      <c r="C55" s="69"/>
      <c r="D55" s="70"/>
      <c r="E55" s="159"/>
      <c r="F55" s="71"/>
      <c r="G55" s="163"/>
      <c r="H55" s="72"/>
      <c r="I55" s="163"/>
      <c r="J55" s="364" t="s">
        <v>272</v>
      </c>
      <c r="K55" s="361">
        <f>ROUND(SUM(K49:K54),0)</f>
        <v>93798</v>
      </c>
      <c r="L55" s="362"/>
      <c r="M55" s="363"/>
      <c r="N55" s="361">
        <f>ROUND(SUM(N49:N54),0)</f>
        <v>54896</v>
      </c>
      <c r="O55" s="361">
        <f>ROUND(SUM(O49:O54),0)</f>
        <v>148694</v>
      </c>
      <c r="P55" s="42"/>
    </row>
    <row r="56" spans="1:16" ht="13.5" thickBot="1" x14ac:dyDescent="0.25">
      <c r="A56" s="14"/>
      <c r="B56" s="14"/>
      <c r="C56" s="44" t="s">
        <v>123</v>
      </c>
      <c r="D56" s="45" t="str">
        <f>A41</f>
        <v>YEAR 3</v>
      </c>
      <c r="E56" s="74" t="s">
        <v>124</v>
      </c>
      <c r="F56" s="46"/>
      <c r="G56" s="164"/>
      <c r="H56" s="59"/>
      <c r="I56" s="164"/>
      <c r="J56" s="155"/>
      <c r="K56" s="158">
        <f>ROUND(SUM(K48,K55),0)</f>
        <v>110366</v>
      </c>
      <c r="L56" s="345">
        <f>IF(K56&lt;&gt;0,N56/K56,0)</f>
        <v>0.55682909591722085</v>
      </c>
      <c r="M56" s="295">
        <f>SUM(M43:M54)</f>
        <v>36000</v>
      </c>
      <c r="N56" s="158">
        <f>ROUND(SUM(N48,N55),0)</f>
        <v>61455</v>
      </c>
      <c r="O56" s="158">
        <f>SUM(O55,O48)</f>
        <v>171821</v>
      </c>
      <c r="P56" s="150">
        <f>O56-M56</f>
        <v>135821</v>
      </c>
    </row>
    <row r="57" spans="1:16" x14ac:dyDescent="0.2">
      <c r="A57" s="12"/>
      <c r="B57" s="12"/>
      <c r="C57" s="12"/>
      <c r="D57" s="12"/>
      <c r="E57" s="12"/>
      <c r="F57" s="12"/>
      <c r="G57" s="12"/>
      <c r="H57" s="60"/>
      <c r="I57" s="12"/>
      <c r="J57" s="12"/>
      <c r="K57" s="12"/>
      <c r="L57" s="377" t="s">
        <v>284</v>
      </c>
      <c r="M57" s="75"/>
      <c r="N57" s="378">
        <f>ROUND(SUM(K56,N56),0)</f>
        <v>171821</v>
      </c>
      <c r="O57" s="378">
        <f>O56-N57</f>
        <v>0</v>
      </c>
    </row>
    <row r="58" spans="1:16" x14ac:dyDescent="0.2">
      <c r="L58" s="347" t="s">
        <v>170</v>
      </c>
      <c r="M58" s="15"/>
    </row>
    <row r="59" spans="1:16" s="197" customFormat="1" x14ac:dyDescent="0.2">
      <c r="A59" s="406" t="s">
        <v>112</v>
      </c>
      <c r="B59" s="406"/>
      <c r="C59" s="406"/>
      <c r="F59" s="198" t="s">
        <v>116</v>
      </c>
      <c r="G59" s="292" t="s">
        <v>21</v>
      </c>
      <c r="H59" s="293"/>
      <c r="I59" s="292" t="s">
        <v>201</v>
      </c>
      <c r="J59" s="199" t="s">
        <v>203</v>
      </c>
      <c r="K59" s="199" t="s">
        <v>23</v>
      </c>
      <c r="L59" s="199" t="s">
        <v>25</v>
      </c>
      <c r="M59" s="287" t="s">
        <v>238</v>
      </c>
      <c r="N59" s="207"/>
    </row>
    <row r="60" spans="1:16" s="197" customFormat="1" x14ac:dyDescent="0.2">
      <c r="A60" s="200" t="s">
        <v>207</v>
      </c>
      <c r="B60" s="200"/>
      <c r="C60" s="200"/>
      <c r="D60" s="201" t="s">
        <v>157</v>
      </c>
      <c r="E60" s="202" t="s">
        <v>20</v>
      </c>
      <c r="F60" s="203" t="s">
        <v>117</v>
      </c>
      <c r="G60" s="294" t="s">
        <v>87</v>
      </c>
      <c r="H60" s="294" t="s">
        <v>21</v>
      </c>
      <c r="I60" s="294" t="s">
        <v>202</v>
      </c>
      <c r="J60" s="204" t="s">
        <v>204</v>
      </c>
      <c r="K60" s="204" t="s">
        <v>86</v>
      </c>
      <c r="L60" s="205" t="s">
        <v>242</v>
      </c>
      <c r="M60" s="205" t="s">
        <v>239</v>
      </c>
      <c r="N60" s="204" t="s">
        <v>178</v>
      </c>
      <c r="O60" s="204" t="s">
        <v>179</v>
      </c>
      <c r="P60" s="206" t="s">
        <v>27</v>
      </c>
    </row>
    <row r="61" spans="1:16" x14ac:dyDescent="0.2">
      <c r="A61" s="12"/>
      <c r="B61" s="12"/>
      <c r="C61" s="291" t="str">
        <f t="shared" ref="C61:E62" si="36">C43</f>
        <v>PI, Joe</v>
      </c>
      <c r="D61" s="234" t="str">
        <f t="shared" si="36"/>
        <v>PI</v>
      </c>
      <c r="E61" s="235" t="str">
        <f t="shared" si="36"/>
        <v>TTF</v>
      </c>
      <c r="F61" s="236">
        <f>ROUND(F43*(1+$O$1),0)</f>
        <v>106502</v>
      </c>
      <c r="G61" s="237">
        <v>1</v>
      </c>
      <c r="H61" s="238" t="s">
        <v>17</v>
      </c>
      <c r="I61" s="236">
        <f>G61*F61</f>
        <v>106502</v>
      </c>
      <c r="J61" s="239">
        <v>0</v>
      </c>
      <c r="K61" s="156">
        <f>ROUND($F61*G61*J61,0)</f>
        <v>0</v>
      </c>
      <c r="L61" s="343">
        <f>VLOOKUP(E61,'Budget Info &amp; Rates'!$D$3:$E$9,2,FALSE)</f>
        <v>0.42</v>
      </c>
      <c r="M61" s="289"/>
      <c r="N61" s="156">
        <f>ROUND(K61*L61,0)+M61</f>
        <v>0</v>
      </c>
      <c r="O61" s="156">
        <f>ROUND(SUM(N61,K61),0)</f>
        <v>0</v>
      </c>
      <c r="P61" s="42"/>
    </row>
    <row r="62" spans="1:16" x14ac:dyDescent="0.2">
      <c r="A62" s="12"/>
      <c r="B62" s="12"/>
      <c r="C62" s="291" t="str">
        <f t="shared" si="36"/>
        <v>Jane Co-PI</v>
      </c>
      <c r="D62" s="234" t="str">
        <f t="shared" si="36"/>
        <v>Co-PI</v>
      </c>
      <c r="E62" s="235" t="str">
        <f t="shared" si="36"/>
        <v>TTF</v>
      </c>
      <c r="F62" s="236">
        <f>ROUND(F44*(1+$O$1),0)</f>
        <v>101871</v>
      </c>
      <c r="G62" s="237">
        <v>1</v>
      </c>
      <c r="H62" s="238" t="s">
        <v>17</v>
      </c>
      <c r="I62" s="236">
        <f t="shared" ref="I62:I72" si="37">G62*F62</f>
        <v>101871</v>
      </c>
      <c r="J62" s="239">
        <v>0</v>
      </c>
      <c r="K62" s="156">
        <f>ROUND($F62*G62*J62*(1+O$1),0)</f>
        <v>0</v>
      </c>
      <c r="L62" s="343">
        <f>VLOOKUP(E62,'Budget Info &amp; Rates'!$D$3:$E$9,2,FALSE)</f>
        <v>0.42</v>
      </c>
      <c r="M62" s="289"/>
      <c r="N62" s="156">
        <f t="shared" ref="N62:N72" si="38">ROUND(K62*L62,0)+M62</f>
        <v>0</v>
      </c>
      <c r="O62" s="156">
        <f t="shared" ref="O62:O65" si="39">ROUND(SUM(N62,K62),0)</f>
        <v>0</v>
      </c>
      <c r="P62" s="42"/>
    </row>
    <row r="63" spans="1:16" x14ac:dyDescent="0.2">
      <c r="A63" s="12"/>
      <c r="B63" s="12"/>
      <c r="C63" s="291" t="str">
        <f t="shared" ref="C63:E63" si="40">C45</f>
        <v>Jane Co-PI</v>
      </c>
      <c r="D63" s="234" t="str">
        <f t="shared" si="40"/>
        <v>Co-PI</v>
      </c>
      <c r="E63" s="235" t="str">
        <f t="shared" si="40"/>
        <v>Sum</v>
      </c>
      <c r="F63" s="236">
        <f>ROUND(F45*(1+$O$1),0)</f>
        <v>106502</v>
      </c>
      <c r="G63" s="237">
        <v>0.25</v>
      </c>
      <c r="H63" s="238" t="s">
        <v>172</v>
      </c>
      <c r="I63" s="236">
        <f t="shared" si="37"/>
        <v>26625.5</v>
      </c>
      <c r="J63" s="239">
        <v>0</v>
      </c>
      <c r="K63" s="156">
        <f>ROUND($F63*G63*J63*(1+O$1),0)</f>
        <v>0</v>
      </c>
      <c r="L63" s="343">
        <f>VLOOKUP(E63,'Budget Info &amp; Rates'!$D$3:$E$9,2,FALSE)</f>
        <v>0.12</v>
      </c>
      <c r="M63" s="289"/>
      <c r="N63" s="156">
        <f t="shared" si="38"/>
        <v>0</v>
      </c>
      <c r="O63" s="156">
        <f t="shared" si="39"/>
        <v>0</v>
      </c>
      <c r="P63" s="42"/>
    </row>
    <row r="64" spans="1:16" x14ac:dyDescent="0.2">
      <c r="A64" s="12"/>
      <c r="B64" s="12"/>
      <c r="C64" s="291" t="str">
        <f t="shared" ref="C64:E64" si="41">C46</f>
        <v>Name #4</v>
      </c>
      <c r="D64" s="234" t="str">
        <f t="shared" si="41"/>
        <v>Title #4</v>
      </c>
      <c r="E64" s="235" t="str">
        <f t="shared" si="41"/>
        <v>Lect</v>
      </c>
      <c r="F64" s="236">
        <f>ROUND(F46*(1+$O$1),0)</f>
        <v>0</v>
      </c>
      <c r="G64" s="237">
        <v>0.5</v>
      </c>
      <c r="H64" s="238" t="s">
        <v>17</v>
      </c>
      <c r="I64" s="236">
        <f t="shared" si="37"/>
        <v>0</v>
      </c>
      <c r="J64" s="239">
        <v>0</v>
      </c>
      <c r="K64" s="156">
        <f>ROUND($F64*G64*J64*(1+O$1),0)</f>
        <v>0</v>
      </c>
      <c r="L64" s="343">
        <f>VLOOKUP(E64,'Budget Info &amp; Rates'!$D$3:$E$9,2,FALSE)</f>
        <v>0.4</v>
      </c>
      <c r="M64" s="289"/>
      <c r="N64" s="156">
        <f t="shared" si="38"/>
        <v>0</v>
      </c>
      <c r="O64" s="156">
        <f t="shared" si="39"/>
        <v>0</v>
      </c>
      <c r="P64" s="42"/>
    </row>
    <row r="65" spans="1:16" x14ac:dyDescent="0.2">
      <c r="A65" s="12"/>
      <c r="B65" s="12"/>
      <c r="C65" s="291" t="str">
        <f t="shared" ref="C65:E65" si="42">C47</f>
        <v>Name #5</v>
      </c>
      <c r="D65" s="234" t="str">
        <f t="shared" si="42"/>
        <v>Title #5</v>
      </c>
      <c r="E65" s="235" t="str">
        <f t="shared" si="42"/>
        <v>FTS</v>
      </c>
      <c r="F65" s="236">
        <f>ROUND(F47*(1+$O$1),0)</f>
        <v>0</v>
      </c>
      <c r="G65" s="237">
        <v>1</v>
      </c>
      <c r="H65" s="238" t="s">
        <v>18</v>
      </c>
      <c r="I65" s="236">
        <f t="shared" si="37"/>
        <v>0</v>
      </c>
      <c r="J65" s="239">
        <v>0</v>
      </c>
      <c r="K65" s="156">
        <f>ROUND($F65*G65*J65*(1+O$1),0)</f>
        <v>0</v>
      </c>
      <c r="L65" s="343">
        <f>VLOOKUP(E65,'Budget Info &amp; Rates'!$D$3:$E$9,2,FALSE)</f>
        <v>0.45</v>
      </c>
      <c r="M65" s="289"/>
      <c r="N65" s="156">
        <f t="shared" si="38"/>
        <v>0</v>
      </c>
      <c r="O65" s="156">
        <f t="shared" si="39"/>
        <v>0</v>
      </c>
      <c r="P65" s="42"/>
    </row>
    <row r="66" spans="1:16" s="12" customFormat="1" x14ac:dyDescent="0.2">
      <c r="A66" s="66" t="s">
        <v>119</v>
      </c>
      <c r="B66" s="66"/>
      <c r="D66" s="151"/>
      <c r="E66" s="152"/>
      <c r="F66" s="13"/>
      <c r="G66" s="162"/>
      <c r="H66" s="58"/>
      <c r="I66" s="162"/>
      <c r="J66" s="360" t="s">
        <v>271</v>
      </c>
      <c r="K66" s="361">
        <f>SUM(K61:K65)</f>
        <v>0</v>
      </c>
      <c r="L66" s="362"/>
      <c r="M66" s="363"/>
      <c r="N66" s="361">
        <f>SUM(N61:N65)</f>
        <v>0</v>
      </c>
      <c r="O66" s="361">
        <f>SUM(O61:O65)</f>
        <v>0</v>
      </c>
      <c r="P66" s="42"/>
    </row>
    <row r="67" spans="1:16" x14ac:dyDescent="0.2">
      <c r="A67" s="12"/>
      <c r="B67" s="12"/>
      <c r="C67" s="291" t="str">
        <f>C49</f>
        <v>Joe Tech</v>
      </c>
      <c r="D67" s="234" t="str">
        <f>D49</f>
        <v>Technician</v>
      </c>
      <c r="E67" s="235" t="str">
        <f>E49</f>
        <v>FTS</v>
      </c>
      <c r="F67" s="236">
        <f t="shared" ref="F67:F72" si="43">ROUND(F49*(1+$O$1),0)</f>
        <v>92610</v>
      </c>
      <c r="G67" s="237">
        <v>1</v>
      </c>
      <c r="H67" s="238" t="s">
        <v>18</v>
      </c>
      <c r="I67" s="236">
        <f>G67*F67</f>
        <v>92610</v>
      </c>
      <c r="J67" s="239">
        <v>0</v>
      </c>
      <c r="K67" s="156">
        <f>ROUND($F67*G67*J67*(1+O$1),0)</f>
        <v>0</v>
      </c>
      <c r="L67" s="343">
        <f>VLOOKUP(E67,'Budget Info &amp; Rates'!$D$3:$E$9,2,FALSE)</f>
        <v>0.45</v>
      </c>
      <c r="M67" s="289"/>
      <c r="N67" s="156">
        <f t="shared" si="38"/>
        <v>0</v>
      </c>
      <c r="O67" s="156">
        <f>ROUND(SUM(N67,K67),0)</f>
        <v>0</v>
      </c>
      <c r="P67" s="42"/>
    </row>
    <row r="68" spans="1:16" x14ac:dyDescent="0.2">
      <c r="A68" s="12"/>
      <c r="B68" s="12"/>
      <c r="C68" s="291" t="str">
        <f t="shared" ref="C68:E68" si="44">C50</f>
        <v>Name #7</v>
      </c>
      <c r="D68" s="234" t="str">
        <f t="shared" si="44"/>
        <v>Title #7</v>
      </c>
      <c r="E68" s="235" t="str">
        <f t="shared" si="44"/>
        <v>FTS</v>
      </c>
      <c r="F68" s="236">
        <f t="shared" si="43"/>
        <v>0</v>
      </c>
      <c r="G68" s="237">
        <v>1</v>
      </c>
      <c r="H68" s="238" t="s">
        <v>18</v>
      </c>
      <c r="I68" s="236">
        <f t="shared" si="37"/>
        <v>0</v>
      </c>
      <c r="J68" s="239">
        <v>0</v>
      </c>
      <c r="K68" s="156">
        <f>ROUND($F68*G68*J68*(1+O$1),0)</f>
        <v>0</v>
      </c>
      <c r="L68" s="343">
        <f>VLOOKUP(E68,'Budget Info &amp; Rates'!$D$3:$E$9,2,FALSE)</f>
        <v>0.45</v>
      </c>
      <c r="M68" s="289"/>
      <c r="N68" s="156">
        <f t="shared" si="38"/>
        <v>0</v>
      </c>
      <c r="O68" s="156">
        <f t="shared" ref="O68:O72" si="45">ROUND(SUM(N68,K68),0)</f>
        <v>0</v>
      </c>
      <c r="P68" s="42"/>
    </row>
    <row r="69" spans="1:16" x14ac:dyDescent="0.2">
      <c r="A69" s="196" t="s">
        <v>51</v>
      </c>
      <c r="B69" s="351" t="s">
        <v>260</v>
      </c>
      <c r="C69" s="291" t="str">
        <f t="shared" ref="C69:E69" si="46">C51</f>
        <v>Name #8</v>
      </c>
      <c r="D69" s="234" t="str">
        <f t="shared" si="46"/>
        <v>Title #8</v>
      </c>
      <c r="E69" s="235" t="str">
        <f t="shared" si="46"/>
        <v>FTS</v>
      </c>
      <c r="F69" s="236">
        <f t="shared" si="43"/>
        <v>0</v>
      </c>
      <c r="G69" s="237">
        <v>1</v>
      </c>
      <c r="H69" s="238" t="s">
        <v>18</v>
      </c>
      <c r="I69" s="236">
        <f t="shared" si="37"/>
        <v>0</v>
      </c>
      <c r="J69" s="239">
        <v>0</v>
      </c>
      <c r="K69" s="156">
        <f>ROUND($F69*G69*J69*(1+O$1),0)</f>
        <v>0</v>
      </c>
      <c r="L69" s="343">
        <f>VLOOKUP(E69,'Budget Info &amp; Rates'!$D$3:$E$9,2,FALSE)</f>
        <v>0.45</v>
      </c>
      <c r="M69" s="289"/>
      <c r="N69" s="156">
        <f t="shared" si="38"/>
        <v>0</v>
      </c>
      <c r="O69" s="156">
        <f t="shared" si="45"/>
        <v>0</v>
      </c>
      <c r="P69" s="42"/>
    </row>
    <row r="70" spans="1:16" x14ac:dyDescent="0.2">
      <c r="A70" s="67">
        <v>0</v>
      </c>
      <c r="B70" s="67" t="s">
        <v>261</v>
      </c>
      <c r="C70" s="291" t="str">
        <f t="shared" ref="C70:E70" si="47">C52</f>
        <v>Undergrad Student Asst</v>
      </c>
      <c r="D70" s="234" t="str">
        <f t="shared" si="47"/>
        <v>SA</v>
      </c>
      <c r="E70" s="235" t="str">
        <f t="shared" si="47"/>
        <v>PT</v>
      </c>
      <c r="F70" s="236">
        <f t="shared" si="43"/>
        <v>25468</v>
      </c>
      <c r="G70" s="240">
        <v>2080</v>
      </c>
      <c r="H70" s="238" t="s">
        <v>24</v>
      </c>
      <c r="I70" s="81">
        <f>F70/G70</f>
        <v>12.24423076923077</v>
      </c>
      <c r="J70" s="241">
        <v>0</v>
      </c>
      <c r="K70" s="156">
        <f>J70*I70</f>
        <v>0</v>
      </c>
      <c r="L70" s="343">
        <f>VLOOKUP(E70,'Budget Info &amp; Rates'!$D$3:$E$9,2,FALSE)</f>
        <v>0.12</v>
      </c>
      <c r="M70" s="288">
        <f>IF(B70="N",0,A70*VLOOKUP(D70,'Budget Info &amp; Rates'!$D$23:$E$26,2,FALSE))</f>
        <v>0</v>
      </c>
      <c r="N70" s="156">
        <f>ROUND(K70*L70,0)+M70</f>
        <v>0</v>
      </c>
      <c r="O70" s="156">
        <f t="shared" si="45"/>
        <v>0</v>
      </c>
      <c r="P70" s="42"/>
    </row>
    <row r="71" spans="1:16" x14ac:dyDescent="0.2">
      <c r="A71" s="67">
        <v>0</v>
      </c>
      <c r="B71" s="67" t="s">
        <v>75</v>
      </c>
      <c r="C71" s="291" t="str">
        <f t="shared" ref="C71:E71" si="48">C53</f>
        <v>Grad Student Asst</v>
      </c>
      <c r="D71" s="234" t="str">
        <f t="shared" si="48"/>
        <v>GSA</v>
      </c>
      <c r="E71" s="235" t="str">
        <f t="shared" si="48"/>
        <v>PT</v>
      </c>
      <c r="F71" s="236">
        <f t="shared" si="43"/>
        <v>46305</v>
      </c>
      <c r="G71" s="237">
        <v>1</v>
      </c>
      <c r="H71" s="238" t="s">
        <v>18</v>
      </c>
      <c r="I71" s="236">
        <f t="shared" ref="I71" si="49">G71*F71</f>
        <v>46305</v>
      </c>
      <c r="J71" s="239">
        <v>0</v>
      </c>
      <c r="K71" s="156">
        <f>ROUND(A71*$F71*G71*J71,0)</f>
        <v>0</v>
      </c>
      <c r="L71" s="343">
        <f>VLOOKUP(E71,'Budget Info &amp; Rates'!$D$3:$E$9,2,FALSE)</f>
        <v>0.12</v>
      </c>
      <c r="M71" s="288">
        <f>IF(B71="N",0,A71*VLOOKUP(D71,'Budget Info &amp; Rates'!$D$23:$E$26,2,FALSE))</f>
        <v>0</v>
      </c>
      <c r="N71" s="156">
        <f t="shared" si="38"/>
        <v>0</v>
      </c>
      <c r="O71" s="156">
        <f t="shared" si="45"/>
        <v>0</v>
      </c>
      <c r="P71" s="42"/>
    </row>
    <row r="72" spans="1:16" x14ac:dyDescent="0.2">
      <c r="A72" s="67">
        <v>0</v>
      </c>
      <c r="B72" s="67" t="s">
        <v>261</v>
      </c>
      <c r="C72" s="291" t="str">
        <f t="shared" ref="C72:E72" si="50">C54</f>
        <v>Post Docs</v>
      </c>
      <c r="D72" s="234" t="str">
        <f t="shared" si="50"/>
        <v>Post Doc</v>
      </c>
      <c r="E72" s="235" t="str">
        <f t="shared" si="50"/>
        <v>PT</v>
      </c>
      <c r="F72" s="236">
        <f t="shared" si="43"/>
        <v>62512</v>
      </c>
      <c r="G72" s="237">
        <v>1</v>
      </c>
      <c r="H72" s="238" t="s">
        <v>18</v>
      </c>
      <c r="I72" s="236">
        <f t="shared" si="37"/>
        <v>62512</v>
      </c>
      <c r="J72" s="239">
        <v>0</v>
      </c>
      <c r="K72" s="156">
        <f>ROUND(A72*$F72*G72*J72,0)</f>
        <v>0</v>
      </c>
      <c r="L72" s="343">
        <f>VLOOKUP(E72,'Budget Info &amp; Rates'!$D$3:$E$9,2,FALSE)</f>
        <v>0.12</v>
      </c>
      <c r="M72" s="289"/>
      <c r="N72" s="156">
        <f t="shared" si="38"/>
        <v>0</v>
      </c>
      <c r="O72" s="156">
        <f t="shared" si="45"/>
        <v>0</v>
      </c>
      <c r="P72" s="42"/>
    </row>
    <row r="73" spans="1:16" s="73" customFormat="1" x14ac:dyDescent="0.2">
      <c r="A73" s="68"/>
      <c r="B73" s="68"/>
      <c r="C73" s="69"/>
      <c r="D73" s="70"/>
      <c r="E73" s="159"/>
      <c r="F73" s="71"/>
      <c r="G73" s="163"/>
      <c r="H73" s="72"/>
      <c r="I73" s="163"/>
      <c r="J73" s="364" t="s">
        <v>272</v>
      </c>
      <c r="K73" s="361">
        <f>ROUND(SUM(K67:K72),0)</f>
        <v>0</v>
      </c>
      <c r="L73" s="362"/>
      <c r="M73" s="363"/>
      <c r="N73" s="361">
        <f>ROUND(SUM(N67:N72),0)</f>
        <v>0</v>
      </c>
      <c r="O73" s="361">
        <f>ROUND(SUM(O67:O72),0)</f>
        <v>0</v>
      </c>
      <c r="P73" s="42"/>
    </row>
    <row r="74" spans="1:16" ht="13.5" thickBot="1" x14ac:dyDescent="0.25">
      <c r="A74" s="14"/>
      <c r="B74" s="14"/>
      <c r="C74" s="44" t="s">
        <v>123</v>
      </c>
      <c r="D74" s="45" t="str">
        <f>A59</f>
        <v>YEAR 4</v>
      </c>
      <c r="E74" s="74" t="s">
        <v>124</v>
      </c>
      <c r="F74" s="46"/>
      <c r="G74" s="164"/>
      <c r="H74" s="59"/>
      <c r="I74" s="164"/>
      <c r="J74" s="155"/>
      <c r="K74" s="158">
        <f>ROUND(SUM(K66,K73),0)</f>
        <v>0</v>
      </c>
      <c r="L74" s="345">
        <f>IF(K74&lt;&gt;0,N74/K74,0)</f>
        <v>0</v>
      </c>
      <c r="M74" s="295">
        <f>SUM(M61:M72)</f>
        <v>0</v>
      </c>
      <c r="N74" s="158">
        <f>ROUND(SUM(N66,N73),0)</f>
        <v>0</v>
      </c>
      <c r="O74" s="158">
        <f>SUM(O73,O66)</f>
        <v>0</v>
      </c>
      <c r="P74" s="150">
        <f>O74-M74</f>
        <v>0</v>
      </c>
    </row>
    <row r="75" spans="1:16" x14ac:dyDescent="0.2">
      <c r="A75" s="12"/>
      <c r="B75" s="12"/>
      <c r="C75" s="12"/>
      <c r="D75" s="12"/>
      <c r="E75" s="12"/>
      <c r="F75" s="12"/>
      <c r="G75" s="12"/>
      <c r="H75" s="60"/>
      <c r="I75" s="12"/>
      <c r="J75" s="12"/>
      <c r="K75" s="12"/>
      <c r="L75" s="377" t="s">
        <v>284</v>
      </c>
      <c r="M75" s="75"/>
      <c r="N75" s="378">
        <f>ROUND(SUM(K74,N74),0)</f>
        <v>0</v>
      </c>
      <c r="O75" s="378">
        <f>O74-N75</f>
        <v>0</v>
      </c>
    </row>
    <row r="76" spans="1:16" x14ac:dyDescent="0.2">
      <c r="L76" s="342"/>
      <c r="M76" s="15"/>
    </row>
    <row r="77" spans="1:16" s="197" customFormat="1" hidden="1" x14ac:dyDescent="0.2">
      <c r="A77" s="406" t="s">
        <v>113</v>
      </c>
      <c r="B77" s="406"/>
      <c r="C77" s="406"/>
      <c r="F77" s="198" t="s">
        <v>116</v>
      </c>
      <c r="G77" s="292" t="s">
        <v>21</v>
      </c>
      <c r="H77" s="293"/>
      <c r="I77" s="292" t="s">
        <v>201</v>
      </c>
      <c r="J77" s="199" t="s">
        <v>203</v>
      </c>
      <c r="K77" s="199" t="s">
        <v>23</v>
      </c>
      <c r="L77" s="199" t="s">
        <v>25</v>
      </c>
      <c r="M77" s="287" t="s">
        <v>238</v>
      </c>
      <c r="N77" s="207"/>
    </row>
    <row r="78" spans="1:16" s="197" customFormat="1" hidden="1" x14ac:dyDescent="0.2">
      <c r="A78" s="200" t="s">
        <v>207</v>
      </c>
      <c r="B78" s="200"/>
      <c r="C78" s="200"/>
      <c r="D78" s="201" t="s">
        <v>157</v>
      </c>
      <c r="E78" s="202" t="s">
        <v>20</v>
      </c>
      <c r="F78" s="203" t="s">
        <v>117</v>
      </c>
      <c r="G78" s="294" t="s">
        <v>87</v>
      </c>
      <c r="H78" s="294" t="s">
        <v>21</v>
      </c>
      <c r="I78" s="294" t="s">
        <v>202</v>
      </c>
      <c r="J78" s="204" t="s">
        <v>204</v>
      </c>
      <c r="K78" s="204" t="s">
        <v>86</v>
      </c>
      <c r="L78" s="205" t="s">
        <v>242</v>
      </c>
      <c r="M78" s="205" t="s">
        <v>239</v>
      </c>
      <c r="N78" s="204" t="s">
        <v>178</v>
      </c>
      <c r="O78" s="204" t="s">
        <v>179</v>
      </c>
      <c r="P78" s="206" t="s">
        <v>27</v>
      </c>
    </row>
    <row r="79" spans="1:16" hidden="1" x14ac:dyDescent="0.2">
      <c r="A79" s="12"/>
      <c r="B79" s="12"/>
      <c r="C79" s="291" t="s">
        <v>118</v>
      </c>
      <c r="D79" s="234" t="s">
        <v>19</v>
      </c>
      <c r="E79" s="235" t="s">
        <v>161</v>
      </c>
      <c r="F79" s="236">
        <f>ROUND(F61*(1+$O$1),0)</f>
        <v>111827</v>
      </c>
      <c r="G79" s="237">
        <v>1</v>
      </c>
      <c r="H79" s="238" t="s">
        <v>17</v>
      </c>
      <c r="I79" s="236"/>
      <c r="J79" s="239">
        <v>0</v>
      </c>
      <c r="K79" s="156">
        <f>ROUND($F79*G79*J79,0)</f>
        <v>0</v>
      </c>
      <c r="L79" s="343">
        <f>VLOOKUP(E79,'Budget Info &amp; Rates'!$D$3:$E$9,2,FALSE)</f>
        <v>0.42</v>
      </c>
      <c r="M79" s="165"/>
      <c r="N79" s="156">
        <f>ROUND(K79*L79,0)</f>
        <v>0</v>
      </c>
      <c r="O79" s="156">
        <f>ROUND(SUM(N79,K79),0)</f>
        <v>0</v>
      </c>
      <c r="P79" s="42"/>
    </row>
    <row r="80" spans="1:16" hidden="1" x14ac:dyDescent="0.2">
      <c r="A80" s="12"/>
      <c r="B80" s="12"/>
      <c r="C80" s="291" t="s">
        <v>22</v>
      </c>
      <c r="D80" s="234" t="s">
        <v>138</v>
      </c>
      <c r="E80" s="235" t="s">
        <v>161</v>
      </c>
      <c r="F80" s="236">
        <f>ROUND(F62*(1+$O$1),0)</f>
        <v>106965</v>
      </c>
      <c r="G80" s="237">
        <v>1</v>
      </c>
      <c r="H80" s="238" t="s">
        <v>17</v>
      </c>
      <c r="I80" s="236"/>
      <c r="J80" s="239">
        <v>0</v>
      </c>
      <c r="K80" s="156">
        <f>ROUND($F80*G80*J80*(1+O$1),0)</f>
        <v>0</v>
      </c>
      <c r="L80" s="343">
        <f>VLOOKUP(E80,'Budget Info &amp; Rates'!$D$3:$E$9,2,FALSE)</f>
        <v>0.42</v>
      </c>
      <c r="M80" s="165"/>
      <c r="N80" s="156">
        <f t="shared" ref="N80:N83" si="51">K80*L80</f>
        <v>0</v>
      </c>
      <c r="O80" s="156">
        <f t="shared" ref="O80:O83" si="52">ROUND(SUM(N80,K80),0)</f>
        <v>0</v>
      </c>
      <c r="P80" s="42"/>
    </row>
    <row r="81" spans="1:16" hidden="1" x14ac:dyDescent="0.2">
      <c r="A81" s="12"/>
      <c r="B81" s="12"/>
      <c r="C81" s="291" t="s">
        <v>139</v>
      </c>
      <c r="D81" s="234" t="s">
        <v>140</v>
      </c>
      <c r="E81" s="235" t="s">
        <v>172</v>
      </c>
      <c r="F81" s="236">
        <f>ROUND(F63*(1+$O$1),0)</f>
        <v>111827</v>
      </c>
      <c r="G81" s="237">
        <v>0.25</v>
      </c>
      <c r="H81" s="238" t="s">
        <v>4</v>
      </c>
      <c r="I81" s="236"/>
      <c r="J81" s="239">
        <v>0</v>
      </c>
      <c r="K81" s="156">
        <f>ROUND($F81*G81*J81*(1+O$1),0)</f>
        <v>0</v>
      </c>
      <c r="L81" s="343">
        <f>VLOOKUP(E81,'Budget Info &amp; Rates'!$D$3:$E$9,2,FALSE)</f>
        <v>0.12</v>
      </c>
      <c r="M81" s="165"/>
      <c r="N81" s="156">
        <f t="shared" si="51"/>
        <v>0</v>
      </c>
      <c r="O81" s="156">
        <f t="shared" si="52"/>
        <v>0</v>
      </c>
      <c r="P81" s="42"/>
    </row>
    <row r="82" spans="1:16" hidden="1" x14ac:dyDescent="0.2">
      <c r="A82" s="12"/>
      <c r="B82" s="12"/>
      <c r="C82" s="291" t="s">
        <v>141</v>
      </c>
      <c r="D82" s="234" t="s">
        <v>142</v>
      </c>
      <c r="E82" s="235" t="s">
        <v>162</v>
      </c>
      <c r="F82" s="236">
        <f>ROUND(F64*(1+$O$1),0)</f>
        <v>0</v>
      </c>
      <c r="G82" s="237">
        <v>0.5</v>
      </c>
      <c r="H82" s="238" t="s">
        <v>17</v>
      </c>
      <c r="I82" s="236"/>
      <c r="J82" s="239">
        <v>0</v>
      </c>
      <c r="K82" s="156">
        <f>ROUND($F82*G82*J82*(1+O$1),0)</f>
        <v>0</v>
      </c>
      <c r="L82" s="343">
        <f>VLOOKUP(E82,'Budget Info &amp; Rates'!$D$3:$E$9,2,FALSE)</f>
        <v>0.4</v>
      </c>
      <c r="M82" s="165"/>
      <c r="N82" s="156">
        <f t="shared" si="51"/>
        <v>0</v>
      </c>
      <c r="O82" s="156">
        <f t="shared" si="52"/>
        <v>0</v>
      </c>
      <c r="P82" s="42"/>
    </row>
    <row r="83" spans="1:16" hidden="1" x14ac:dyDescent="0.2">
      <c r="A83" s="12"/>
      <c r="B83" s="12"/>
      <c r="C83" s="291" t="s">
        <v>143</v>
      </c>
      <c r="D83" s="234" t="s">
        <v>144</v>
      </c>
      <c r="E83" s="235" t="s">
        <v>174</v>
      </c>
      <c r="F83" s="236">
        <f>ROUND(F65*(1+$O$1),0)</f>
        <v>0</v>
      </c>
      <c r="G83" s="237">
        <v>1</v>
      </c>
      <c r="H83" s="238" t="s">
        <v>18</v>
      </c>
      <c r="I83" s="236"/>
      <c r="J83" s="239">
        <v>0</v>
      </c>
      <c r="K83" s="156">
        <f>ROUND($F83*G83*J83*(1+O$1),0)</f>
        <v>0</v>
      </c>
      <c r="L83" s="343">
        <f>VLOOKUP(E83,'Budget Info &amp; Rates'!$D$3:$E$9,2,FALSE)</f>
        <v>0.45</v>
      </c>
      <c r="M83" s="165"/>
      <c r="N83" s="156">
        <f t="shared" si="51"/>
        <v>0</v>
      </c>
      <c r="O83" s="156">
        <f t="shared" si="52"/>
        <v>0</v>
      </c>
      <c r="P83" s="42"/>
    </row>
    <row r="84" spans="1:16" s="12" customFormat="1" hidden="1" x14ac:dyDescent="0.2">
      <c r="A84" s="66" t="s">
        <v>119</v>
      </c>
      <c r="B84" s="66"/>
      <c r="C84" s="60"/>
      <c r="D84" s="151"/>
      <c r="E84" s="152"/>
      <c r="F84" s="13"/>
      <c r="G84" s="162"/>
      <c r="H84" s="58"/>
      <c r="I84" s="162"/>
      <c r="J84" s="153"/>
      <c r="K84" s="156"/>
      <c r="L84" s="343"/>
      <c r="M84" s="165"/>
      <c r="N84" s="156"/>
      <c r="O84" s="156"/>
      <c r="P84" s="42"/>
    </row>
    <row r="85" spans="1:16" hidden="1" x14ac:dyDescent="0.2">
      <c r="A85" s="12"/>
      <c r="B85" s="12"/>
      <c r="C85" s="291" t="s">
        <v>145</v>
      </c>
      <c r="D85" s="234" t="s">
        <v>146</v>
      </c>
      <c r="E85" s="235" t="s">
        <v>174</v>
      </c>
      <c r="F85" s="236">
        <f t="shared" ref="F85:F90" si="53">ROUND(F67*(1+$O$1),0)</f>
        <v>97241</v>
      </c>
      <c r="G85" s="237">
        <v>1</v>
      </c>
      <c r="H85" s="238" t="s">
        <v>18</v>
      </c>
      <c r="I85" s="236"/>
      <c r="J85" s="239">
        <v>0</v>
      </c>
      <c r="K85" s="156">
        <f>ROUND($F85*G85*J85*(1+O$1),0)</f>
        <v>0</v>
      </c>
      <c r="L85" s="343">
        <f>VLOOKUP(E85,'Budget Info &amp; Rates'!$D$3:$E$9,2,FALSE)</f>
        <v>0.45</v>
      </c>
      <c r="M85" s="165"/>
      <c r="N85" s="156">
        <f>K85*L85</f>
        <v>0</v>
      </c>
      <c r="O85" s="156">
        <f>ROUND(SUM(N85,K85),0)</f>
        <v>0</v>
      </c>
      <c r="P85" s="42"/>
    </row>
    <row r="86" spans="1:16" hidden="1" x14ac:dyDescent="0.2">
      <c r="A86" s="12"/>
      <c r="B86" s="12"/>
      <c r="C86" s="291" t="s">
        <v>147</v>
      </c>
      <c r="D86" s="234" t="s">
        <v>148</v>
      </c>
      <c r="E86" s="235" t="s">
        <v>174</v>
      </c>
      <c r="F86" s="236">
        <f t="shared" si="53"/>
        <v>0</v>
      </c>
      <c r="G86" s="237">
        <v>1</v>
      </c>
      <c r="H86" s="238" t="s">
        <v>18</v>
      </c>
      <c r="I86" s="236"/>
      <c r="J86" s="239">
        <v>0</v>
      </c>
      <c r="K86" s="156">
        <f>ROUND($F86*G86*J86*(1+O$1),0)</f>
        <v>0</v>
      </c>
      <c r="L86" s="343">
        <f>VLOOKUP(E86,'Budget Info &amp; Rates'!$D$3:$E$9,2,FALSE)</f>
        <v>0.45</v>
      </c>
      <c r="M86" s="165"/>
      <c r="N86" s="156">
        <f t="shared" ref="N86:N90" si="54">K86*L86</f>
        <v>0</v>
      </c>
      <c r="O86" s="156">
        <f t="shared" ref="O86:O90" si="55">ROUND(SUM(N86,K86),0)</f>
        <v>0</v>
      </c>
      <c r="P86" s="42"/>
    </row>
    <row r="87" spans="1:16" hidden="1" x14ac:dyDescent="0.2">
      <c r="A87" s="196" t="s">
        <v>51</v>
      </c>
      <c r="B87" s="196"/>
      <c r="C87" s="291" t="s">
        <v>120</v>
      </c>
      <c r="D87" s="234" t="s">
        <v>121</v>
      </c>
      <c r="E87" s="235" t="s">
        <v>174</v>
      </c>
      <c r="F87" s="236">
        <f t="shared" si="53"/>
        <v>0</v>
      </c>
      <c r="G87" s="237">
        <v>1</v>
      </c>
      <c r="H87" s="238" t="s">
        <v>18</v>
      </c>
      <c r="I87" s="236"/>
      <c r="J87" s="239">
        <v>0</v>
      </c>
      <c r="K87" s="156">
        <f>ROUND($F87*G87*J87*(1+O$1),0)</f>
        <v>0</v>
      </c>
      <c r="L87" s="343">
        <f>VLOOKUP(E87,'Budget Info &amp; Rates'!$D$3:$E$9,2,FALSE)</f>
        <v>0.45</v>
      </c>
      <c r="M87" s="165"/>
      <c r="N87" s="156">
        <f t="shared" si="54"/>
        <v>0</v>
      </c>
      <c r="O87" s="156">
        <f t="shared" si="55"/>
        <v>0</v>
      </c>
      <c r="P87" s="42"/>
    </row>
    <row r="88" spans="1:16" hidden="1" x14ac:dyDescent="0.2">
      <c r="A88" s="67">
        <v>0</v>
      </c>
      <c r="B88" s="67"/>
      <c r="C88" s="291" t="s">
        <v>149</v>
      </c>
      <c r="D88" s="234" t="s">
        <v>150</v>
      </c>
      <c r="E88" s="235" t="s">
        <v>163</v>
      </c>
      <c r="F88" s="236">
        <f t="shared" si="53"/>
        <v>26741</v>
      </c>
      <c r="G88" s="240">
        <v>2080</v>
      </c>
      <c r="H88" s="238" t="s">
        <v>24</v>
      </c>
      <c r="I88" s="236">
        <f>F88/G88</f>
        <v>12.856249999999999</v>
      </c>
      <c r="J88" s="241">
        <v>0</v>
      </c>
      <c r="K88" s="156">
        <f>J88*I88</f>
        <v>0</v>
      </c>
      <c r="L88" s="343">
        <f>VLOOKUP(E88,'Budget Info &amp; Rates'!$D$3:$E$9,2,FALSE)</f>
        <v>0.12</v>
      </c>
      <c r="M88" s="165"/>
      <c r="N88" s="156">
        <f t="shared" si="54"/>
        <v>0</v>
      </c>
      <c r="O88" s="156">
        <f t="shared" si="55"/>
        <v>0</v>
      </c>
      <c r="P88" s="42"/>
    </row>
    <row r="89" spans="1:16" hidden="1" x14ac:dyDescent="0.2">
      <c r="A89" s="67">
        <v>0</v>
      </c>
      <c r="B89" s="67"/>
      <c r="C89" s="291" t="s">
        <v>151</v>
      </c>
      <c r="D89" s="234" t="s">
        <v>152</v>
      </c>
      <c r="E89" s="235" t="s">
        <v>163</v>
      </c>
      <c r="F89" s="236">
        <f t="shared" si="53"/>
        <v>48620</v>
      </c>
      <c r="G89" s="237">
        <v>1</v>
      </c>
      <c r="H89" s="238" t="s">
        <v>18</v>
      </c>
      <c r="I89" s="236"/>
      <c r="J89" s="239">
        <v>0</v>
      </c>
      <c r="K89" s="156">
        <f>ROUND(A89*$F89*G89*J89,0)</f>
        <v>0</v>
      </c>
      <c r="L89" s="343">
        <f>VLOOKUP(E89,'Budget Info &amp; Rates'!$D$3:$E$9,2,FALSE)</f>
        <v>0.12</v>
      </c>
      <c r="M89" s="165"/>
      <c r="N89" s="156">
        <f t="shared" si="54"/>
        <v>0</v>
      </c>
      <c r="O89" s="156">
        <f t="shared" si="55"/>
        <v>0</v>
      </c>
      <c r="P89" s="42"/>
    </row>
    <row r="90" spans="1:16" hidden="1" x14ac:dyDescent="0.2">
      <c r="A90" s="67">
        <v>0</v>
      </c>
      <c r="B90" s="67"/>
      <c r="C90" s="291" t="s">
        <v>158</v>
      </c>
      <c r="D90" s="234" t="s">
        <v>160</v>
      </c>
      <c r="E90" s="235" t="s">
        <v>163</v>
      </c>
      <c r="F90" s="236">
        <f t="shared" si="53"/>
        <v>65638</v>
      </c>
      <c r="G90" s="237">
        <v>1</v>
      </c>
      <c r="H90" s="238" t="s">
        <v>18</v>
      </c>
      <c r="I90" s="236"/>
      <c r="J90" s="239">
        <v>0</v>
      </c>
      <c r="K90" s="156">
        <f>ROUND(A90*$F90*G90*J90,0)</f>
        <v>0</v>
      </c>
      <c r="L90" s="343">
        <f>VLOOKUP(E90,'Budget Info &amp; Rates'!$D$3:$E$9,2,FALSE)</f>
        <v>0.12</v>
      </c>
      <c r="M90" s="165"/>
      <c r="N90" s="156">
        <f t="shared" si="54"/>
        <v>0</v>
      </c>
      <c r="O90" s="156">
        <f t="shared" si="55"/>
        <v>0</v>
      </c>
      <c r="P90" s="42"/>
    </row>
    <row r="91" spans="1:16" s="73" customFormat="1" hidden="1" x14ac:dyDescent="0.2">
      <c r="A91" s="68"/>
      <c r="B91" s="68"/>
      <c r="C91" s="69" t="s">
        <v>122</v>
      </c>
      <c r="D91" s="70"/>
      <c r="E91" s="159"/>
      <c r="F91" s="71"/>
      <c r="G91" s="163"/>
      <c r="H91" s="72"/>
      <c r="I91" s="163"/>
      <c r="J91" s="154"/>
      <c r="K91" s="157">
        <f>ROUND(SUM(K86:K90),0)</f>
        <v>0</v>
      </c>
      <c r="L91" s="344"/>
      <c r="M91" s="166"/>
      <c r="N91" s="157">
        <f>ROUND(SUM(N86:N90),0)</f>
        <v>0</v>
      </c>
      <c r="O91" s="157">
        <f>ROUND(SUM(O86:O90),0)</f>
        <v>0</v>
      </c>
      <c r="P91" s="42"/>
    </row>
    <row r="92" spans="1:16" ht="13.5" hidden="1" thickBot="1" x14ac:dyDescent="0.25">
      <c r="A92" s="14"/>
      <c r="B92" s="14"/>
      <c r="C92" s="44" t="s">
        <v>123</v>
      </c>
      <c r="D92" s="45" t="str">
        <f>A77</f>
        <v>YEAR 5</v>
      </c>
      <c r="E92" s="74" t="s">
        <v>124</v>
      </c>
      <c r="F92" s="46"/>
      <c r="G92" s="164"/>
      <c r="H92" s="59"/>
      <c r="I92" s="164"/>
      <c r="J92" s="155"/>
      <c r="K92" s="158">
        <f>ROUND(SUM(K79:K85,K91),0)</f>
        <v>0</v>
      </c>
      <c r="L92" s="345">
        <f>IF(K92&lt;&gt;0,N92/K92,0)</f>
        <v>0</v>
      </c>
      <c r="M92" s="167"/>
      <c r="N92" s="158">
        <f>ROUND(SUM(N79:N85,N91),0)</f>
        <v>0</v>
      </c>
      <c r="O92" s="158">
        <f>ROUND(SUM(O79:O85,O91),0)</f>
        <v>0</v>
      </c>
      <c r="P92" s="150">
        <f>O92</f>
        <v>0</v>
      </c>
    </row>
    <row r="93" spans="1:16" hidden="1" x14ac:dyDescent="0.2">
      <c r="A93" s="12"/>
      <c r="B93" s="12"/>
      <c r="C93" s="12"/>
      <c r="D93" s="12"/>
      <c r="E93" s="12"/>
      <c r="F93" s="12"/>
      <c r="G93" s="12"/>
      <c r="H93" s="60"/>
      <c r="I93" s="12"/>
      <c r="J93" s="12"/>
      <c r="K93" s="12"/>
      <c r="L93" s="346"/>
      <c r="M93" s="75"/>
      <c r="N93" s="76">
        <f>SUM(N92,K92)</f>
        <v>0</v>
      </c>
      <c r="O93" s="76">
        <f>O92-N93</f>
        <v>0</v>
      </c>
    </row>
    <row r="98" spans="16:16" x14ac:dyDescent="0.2">
      <c r="P98" s="73"/>
    </row>
  </sheetData>
  <mergeCells count="6">
    <mergeCell ref="A77:C77"/>
    <mergeCell ref="A2:D3"/>
    <mergeCell ref="A5:C5"/>
    <mergeCell ref="A23:C23"/>
    <mergeCell ref="A41:C41"/>
    <mergeCell ref="A59:C59"/>
  </mergeCells>
  <phoneticPr fontId="1" type="noConversion"/>
  <conditionalFormatting sqref="O93 O21">
    <cfRule type="cellIs" dxfId="4" priority="0" stopIfTrue="1" operator="notEqual">
      <formula>0</formula>
    </cfRule>
  </conditionalFormatting>
  <conditionalFormatting sqref="O39">
    <cfRule type="cellIs" dxfId="3" priority="3" stopIfTrue="1" operator="notEqual">
      <formula>0</formula>
    </cfRule>
  </conditionalFormatting>
  <conditionalFormatting sqref="O57">
    <cfRule type="cellIs" dxfId="2" priority="2" stopIfTrue="1" operator="notEqual">
      <formula>0</formula>
    </cfRule>
  </conditionalFormatting>
  <conditionalFormatting sqref="O75">
    <cfRule type="cellIs" dxfId="1" priority="1" stopIfTrue="1" operator="notEqual">
      <formula>0</formula>
    </cfRule>
  </conditionalFormatting>
  <printOptions horizontalCentered="1"/>
  <pageMargins left="0.25" right="0.25" top="0.5" bottom="0.5" header="0.5" footer="0.5"/>
  <pageSetup scale="78"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69"/>
  <sheetViews>
    <sheetView workbookViewId="0">
      <selection activeCell="F36" sqref="F36"/>
    </sheetView>
  </sheetViews>
  <sheetFormatPr defaultColWidth="11" defaultRowHeight="12.75" x14ac:dyDescent="0.2"/>
  <cols>
    <col min="1" max="1" width="6.625" style="4" customWidth="1"/>
    <col min="2" max="2" width="10.875" style="4" customWidth="1"/>
    <col min="3" max="3" width="10.125" style="4" customWidth="1"/>
    <col min="4" max="4" width="7.375" style="4" customWidth="1"/>
    <col min="5" max="6" width="4.375" style="4" customWidth="1"/>
    <col min="7" max="7" width="6.25" style="4" customWidth="1"/>
    <col min="8" max="8" width="7.375" style="4" customWidth="1"/>
    <col min="9" max="9" width="5.125" style="4" customWidth="1"/>
    <col min="10" max="10" width="6.125" style="4" customWidth="1"/>
    <col min="11" max="11" width="6.625" style="4" customWidth="1"/>
    <col min="12" max="12" width="6.125" style="4" customWidth="1"/>
    <col min="13" max="13" width="6.25" style="4" customWidth="1"/>
    <col min="14" max="14" width="1.375" style="4" customWidth="1"/>
    <col min="15" max="15" width="7.375" style="4" customWidth="1"/>
    <col min="16" max="16" width="9" style="4" customWidth="1"/>
    <col min="17" max="16384" width="11" style="4"/>
  </cols>
  <sheetData>
    <row r="1" spans="1:16" ht="15.75" x14ac:dyDescent="0.25">
      <c r="A1" s="64" t="s">
        <v>109</v>
      </c>
    </row>
    <row r="2" spans="1:16" x14ac:dyDescent="0.2">
      <c r="A2" s="407" t="s">
        <v>245</v>
      </c>
      <c r="B2" s="407"/>
      <c r="C2" s="407"/>
      <c r="D2" s="53" t="s">
        <v>52</v>
      </c>
      <c r="I2" s="160"/>
      <c r="J2" s="171" t="s">
        <v>12</v>
      </c>
      <c r="K2" s="171" t="s">
        <v>213</v>
      </c>
      <c r="L2" s="171" t="s">
        <v>206</v>
      </c>
      <c r="M2" s="171" t="s">
        <v>212</v>
      </c>
    </row>
    <row r="3" spans="1:16" x14ac:dyDescent="0.2">
      <c r="A3" s="407"/>
      <c r="B3" s="407"/>
      <c r="C3" s="407"/>
      <c r="H3" s="242" t="s">
        <v>7</v>
      </c>
      <c r="I3" s="242"/>
      <c r="J3" s="350">
        <v>0.57499999999999996</v>
      </c>
      <c r="K3" s="243">
        <v>60</v>
      </c>
      <c r="L3" s="243">
        <v>25</v>
      </c>
      <c r="M3" s="243">
        <v>150</v>
      </c>
    </row>
    <row r="4" spans="1:16" x14ac:dyDescent="0.2">
      <c r="C4" s="1"/>
      <c r="D4" s="1"/>
      <c r="E4" s="2"/>
      <c r="F4" s="1"/>
      <c r="G4" s="250" t="s">
        <v>214</v>
      </c>
      <c r="N4" s="1"/>
      <c r="O4" s="3"/>
    </row>
    <row r="5" spans="1:16" x14ac:dyDescent="0.2">
      <c r="A5" s="410" t="s">
        <v>175</v>
      </c>
      <c r="B5" s="410"/>
      <c r="C5" s="1"/>
      <c r="D5" s="1"/>
      <c r="E5" s="2"/>
      <c r="F5" s="1"/>
      <c r="G5" s="1"/>
      <c r="H5" s="1"/>
      <c r="N5" s="1"/>
      <c r="O5" s="3"/>
    </row>
    <row r="6" spans="1:16" ht="22.5" x14ac:dyDescent="0.2">
      <c r="A6" s="39" t="s">
        <v>40</v>
      </c>
      <c r="B6" s="39" t="s">
        <v>176</v>
      </c>
      <c r="C6" s="40" t="s">
        <v>9</v>
      </c>
      <c r="D6" s="5" t="s">
        <v>8</v>
      </c>
      <c r="E6" s="6" t="s">
        <v>13</v>
      </c>
      <c r="F6" s="6" t="s">
        <v>14</v>
      </c>
      <c r="G6" s="263" t="s">
        <v>205</v>
      </c>
      <c r="H6" s="5" t="s">
        <v>10</v>
      </c>
      <c r="I6" s="5" t="s">
        <v>11</v>
      </c>
      <c r="J6" s="5" t="s">
        <v>12</v>
      </c>
      <c r="K6" s="5" t="s">
        <v>213</v>
      </c>
      <c r="L6" s="5" t="s">
        <v>206</v>
      </c>
      <c r="M6" s="5" t="s">
        <v>212</v>
      </c>
      <c r="N6" s="7"/>
      <c r="O6" s="105" t="s">
        <v>5</v>
      </c>
      <c r="P6" s="41" t="s">
        <v>27</v>
      </c>
    </row>
    <row r="7" spans="1:16" x14ac:dyDescent="0.2">
      <c r="A7" s="4" t="s">
        <v>15</v>
      </c>
      <c r="B7" s="275" t="s">
        <v>208</v>
      </c>
      <c r="C7" s="251"/>
      <c r="D7" s="54">
        <v>2</v>
      </c>
      <c r="E7" s="54">
        <v>2</v>
      </c>
      <c r="F7" s="54">
        <v>2</v>
      </c>
      <c r="G7" s="264">
        <v>0</v>
      </c>
      <c r="H7" s="55">
        <v>300</v>
      </c>
      <c r="I7" s="54">
        <v>20</v>
      </c>
      <c r="J7" s="10">
        <f>ROUND(I7*$J$3,0)</f>
        <v>12</v>
      </c>
      <c r="K7" s="10">
        <f>IF(G7=0,E7*$K$3,0)</f>
        <v>120</v>
      </c>
      <c r="L7" s="10">
        <f>IF(G7=0,E7*$L$3,0)</f>
        <v>50</v>
      </c>
      <c r="M7" s="10">
        <f>IF(G7=0,E7*$M$3,0)</f>
        <v>300</v>
      </c>
      <c r="N7" s="9"/>
      <c r="O7" s="8">
        <f>IF(G7&gt;0,G7*F7*D7,$D7*($H7+$J7+$K7+$L7+$M7)*$F7)</f>
        <v>3128</v>
      </c>
      <c r="P7" s="42"/>
    </row>
    <row r="8" spans="1:16" x14ac:dyDescent="0.2">
      <c r="B8" s="275" t="s">
        <v>273</v>
      </c>
      <c r="C8" s="251"/>
      <c r="D8" s="54">
        <v>50</v>
      </c>
      <c r="E8" s="54">
        <v>0</v>
      </c>
      <c r="F8" s="54">
        <v>2</v>
      </c>
      <c r="G8" s="264">
        <v>300</v>
      </c>
      <c r="H8" s="55">
        <v>0</v>
      </c>
      <c r="I8" s="54">
        <v>0</v>
      </c>
      <c r="J8" s="10">
        <f t="shared" ref="J8:J14" si="0">ROUND(I8*$J$3,0)</f>
        <v>0</v>
      </c>
      <c r="K8" s="10">
        <f>IF(G8=0,E8*$K$3,0)</f>
        <v>0</v>
      </c>
      <c r="L8" s="10">
        <f>IF(G8=0,E8*$L$3,0)</f>
        <v>0</v>
      </c>
      <c r="M8" s="10">
        <f>IF(G8=0,E8*$M$3,0)</f>
        <v>0</v>
      </c>
      <c r="N8" s="9"/>
      <c r="O8" s="8">
        <f t="shared" ref="O8:O14" si="1">IF(G8&gt;0,G8*F8*D8,$D8*($H8+$J8+$K8+$L8+$M8)*$F8)</f>
        <v>30000</v>
      </c>
      <c r="P8" s="42"/>
    </row>
    <row r="9" spans="1:16" x14ac:dyDescent="0.2">
      <c r="B9" s="276" t="s">
        <v>274</v>
      </c>
      <c r="C9" s="251"/>
      <c r="D9" s="54">
        <v>4</v>
      </c>
      <c r="E9" s="54">
        <v>2</v>
      </c>
      <c r="F9" s="54">
        <v>2</v>
      </c>
      <c r="G9" s="264">
        <v>0</v>
      </c>
      <c r="H9" s="55">
        <v>300</v>
      </c>
      <c r="I9" s="54">
        <v>20</v>
      </c>
      <c r="J9" s="10">
        <f t="shared" si="0"/>
        <v>12</v>
      </c>
      <c r="K9" s="10">
        <f>IF(G9=0,E9*$K$3,0)</f>
        <v>120</v>
      </c>
      <c r="L9" s="10">
        <f>IF(G9=0,E9*$L$3,0)</f>
        <v>50</v>
      </c>
      <c r="M9" s="10">
        <f>IF(G9=0,E9*$M$3,0)</f>
        <v>300</v>
      </c>
      <c r="N9" s="9"/>
      <c r="O9" s="8">
        <f t="shared" si="1"/>
        <v>6256</v>
      </c>
      <c r="P9" s="42"/>
    </row>
    <row r="10" spans="1:16" x14ac:dyDescent="0.2">
      <c r="B10" s="276"/>
      <c r="C10" s="251"/>
      <c r="D10" s="54">
        <v>0</v>
      </c>
      <c r="E10" s="54">
        <v>0</v>
      </c>
      <c r="F10" s="54">
        <v>0</v>
      </c>
      <c r="G10" s="264">
        <v>0</v>
      </c>
      <c r="H10" s="55">
        <v>0</v>
      </c>
      <c r="I10" s="54">
        <v>0</v>
      </c>
      <c r="J10" s="10">
        <f t="shared" si="0"/>
        <v>0</v>
      </c>
      <c r="K10" s="10">
        <f t="shared" ref="K10:K14" si="2">IF(G10=0,E10*$K$3,0)</f>
        <v>0</v>
      </c>
      <c r="L10" s="10">
        <f t="shared" ref="L10:L14" si="3">IF(G10=0,E10*$L$3,0)</f>
        <v>0</v>
      </c>
      <c r="M10" s="10">
        <f t="shared" ref="M10:M14" si="4">IF(G10=0,E10*$M$3,0)</f>
        <v>0</v>
      </c>
      <c r="N10" s="9"/>
      <c r="O10" s="8">
        <f t="shared" si="1"/>
        <v>0</v>
      </c>
      <c r="P10" s="42"/>
    </row>
    <row r="11" spans="1:16" x14ac:dyDescent="0.2">
      <c r="B11" s="275"/>
      <c r="C11" s="54"/>
      <c r="D11" s="54">
        <v>0</v>
      </c>
      <c r="E11" s="54">
        <v>0</v>
      </c>
      <c r="F11" s="54">
        <v>0</v>
      </c>
      <c r="G11" s="264">
        <v>0</v>
      </c>
      <c r="H11" s="55">
        <v>0</v>
      </c>
      <c r="I11" s="54">
        <v>0</v>
      </c>
      <c r="J11" s="10">
        <f t="shared" si="0"/>
        <v>0</v>
      </c>
      <c r="K11" s="10">
        <f t="shared" si="2"/>
        <v>0</v>
      </c>
      <c r="L11" s="10">
        <f t="shared" si="3"/>
        <v>0</v>
      </c>
      <c r="M11" s="10">
        <f t="shared" si="4"/>
        <v>0</v>
      </c>
      <c r="N11" s="9"/>
      <c r="O11" s="8">
        <f t="shared" si="1"/>
        <v>0</v>
      </c>
      <c r="P11" s="42"/>
    </row>
    <row r="12" spans="1:16" x14ac:dyDescent="0.2">
      <c r="A12" s="253"/>
      <c r="B12" s="277"/>
      <c r="C12" s="255"/>
      <c r="D12" s="255">
        <v>0</v>
      </c>
      <c r="E12" s="255">
        <v>0</v>
      </c>
      <c r="F12" s="255">
        <v>0</v>
      </c>
      <c r="G12" s="265">
        <v>0</v>
      </c>
      <c r="H12" s="256">
        <v>0</v>
      </c>
      <c r="I12" s="255">
        <v>0</v>
      </c>
      <c r="J12" s="10">
        <f t="shared" si="0"/>
        <v>0</v>
      </c>
      <c r="K12" s="10">
        <f t="shared" si="2"/>
        <v>0</v>
      </c>
      <c r="L12" s="10">
        <f t="shared" si="3"/>
        <v>0</v>
      </c>
      <c r="M12" s="10">
        <f t="shared" si="4"/>
        <v>0</v>
      </c>
      <c r="N12" s="9"/>
      <c r="O12" s="8">
        <f t="shared" si="1"/>
        <v>0</v>
      </c>
      <c r="P12" s="42"/>
    </row>
    <row r="13" spans="1:16" x14ac:dyDescent="0.2">
      <c r="A13" s="408" t="s">
        <v>16</v>
      </c>
      <c r="B13" s="278"/>
      <c r="C13" s="56"/>
      <c r="D13" s="54">
        <v>0</v>
      </c>
      <c r="E13" s="54">
        <v>0</v>
      </c>
      <c r="F13" s="54">
        <v>0</v>
      </c>
      <c r="G13" s="264">
        <v>0</v>
      </c>
      <c r="H13" s="55">
        <v>0</v>
      </c>
      <c r="I13" s="54">
        <v>0</v>
      </c>
      <c r="J13" s="10">
        <f t="shared" si="0"/>
        <v>0</v>
      </c>
      <c r="K13" s="10">
        <f t="shared" si="2"/>
        <v>0</v>
      </c>
      <c r="L13" s="10">
        <f t="shared" si="3"/>
        <v>0</v>
      </c>
      <c r="M13" s="10">
        <f t="shared" si="4"/>
        <v>0</v>
      </c>
      <c r="O13" s="8">
        <f t="shared" si="1"/>
        <v>0</v>
      </c>
      <c r="P13" s="42"/>
    </row>
    <row r="14" spans="1:16" x14ac:dyDescent="0.2">
      <c r="A14" s="409"/>
      <c r="B14" s="278"/>
      <c r="C14" s="56"/>
      <c r="D14" s="54">
        <v>0</v>
      </c>
      <c r="E14" s="54">
        <v>0</v>
      </c>
      <c r="F14" s="54">
        <v>0</v>
      </c>
      <c r="G14" s="264">
        <v>0</v>
      </c>
      <c r="H14" s="55">
        <v>0</v>
      </c>
      <c r="I14" s="54">
        <v>0</v>
      </c>
      <c r="J14" s="10">
        <f t="shared" si="0"/>
        <v>0</v>
      </c>
      <c r="K14" s="10">
        <f t="shared" si="2"/>
        <v>0</v>
      </c>
      <c r="L14" s="10">
        <f t="shared" si="3"/>
        <v>0</v>
      </c>
      <c r="M14" s="10">
        <f t="shared" si="4"/>
        <v>0</v>
      </c>
      <c r="O14" s="8">
        <f t="shared" si="1"/>
        <v>0</v>
      </c>
      <c r="P14" s="42"/>
    </row>
    <row r="15" spans="1:16" x14ac:dyDescent="0.2">
      <c r="A15" s="258"/>
      <c r="B15" s="259" t="s">
        <v>5</v>
      </c>
      <c r="C15" s="69" t="str">
        <f>A5</f>
        <v>YEAR 1</v>
      </c>
      <c r="D15" s="259">
        <f t="shared" ref="D15:M15" si="5">SUM(D7:D14)</f>
        <v>56</v>
      </c>
      <c r="E15" s="259">
        <f t="shared" si="5"/>
        <v>4</v>
      </c>
      <c r="F15" s="259">
        <f t="shared" si="5"/>
        <v>6</v>
      </c>
      <c r="G15" s="266">
        <f t="shared" si="5"/>
        <v>300</v>
      </c>
      <c r="H15" s="260">
        <f t="shared" si="5"/>
        <v>600</v>
      </c>
      <c r="I15" s="259">
        <f t="shared" si="5"/>
        <v>40</v>
      </c>
      <c r="J15" s="260">
        <f t="shared" si="5"/>
        <v>24</v>
      </c>
      <c r="K15" s="260">
        <f t="shared" si="5"/>
        <v>240</v>
      </c>
      <c r="L15" s="260">
        <f t="shared" si="5"/>
        <v>100</v>
      </c>
      <c r="M15" s="260">
        <f t="shared" si="5"/>
        <v>600</v>
      </c>
      <c r="N15" s="261"/>
      <c r="O15" s="262">
        <f>SUM(O7:O14)</f>
        <v>39384</v>
      </c>
      <c r="P15" s="257">
        <f>O15</f>
        <v>39384</v>
      </c>
    </row>
    <row r="18" spans="1:16" x14ac:dyDescent="0.2">
      <c r="A18" s="410" t="s">
        <v>110</v>
      </c>
      <c r="B18" s="410"/>
      <c r="C18" s="1"/>
      <c r="D18" s="1"/>
      <c r="E18" s="2"/>
      <c r="F18" s="1"/>
      <c r="G18" s="1"/>
      <c r="H18" s="1"/>
      <c r="I18" s="47"/>
      <c r="J18" s="48"/>
      <c r="K18" s="49"/>
      <c r="L18" s="49"/>
      <c r="M18" s="49"/>
      <c r="N18" s="1"/>
      <c r="O18" s="3"/>
    </row>
    <row r="19" spans="1:16" ht="22.5" x14ac:dyDescent="0.2">
      <c r="A19" s="39" t="s">
        <v>40</v>
      </c>
      <c r="B19" s="39" t="s">
        <v>176</v>
      </c>
      <c r="C19" s="40" t="s">
        <v>9</v>
      </c>
      <c r="D19" s="5" t="s">
        <v>8</v>
      </c>
      <c r="E19" s="6" t="s">
        <v>13</v>
      </c>
      <c r="F19" s="6" t="s">
        <v>14</v>
      </c>
      <c r="G19" s="263" t="s">
        <v>205</v>
      </c>
      <c r="H19" s="5" t="s">
        <v>10</v>
      </c>
      <c r="I19" s="5" t="s">
        <v>11</v>
      </c>
      <c r="J19" s="5" t="s">
        <v>12</v>
      </c>
      <c r="K19" s="5" t="s">
        <v>213</v>
      </c>
      <c r="L19" s="5" t="s">
        <v>206</v>
      </c>
      <c r="M19" s="5" t="s">
        <v>212</v>
      </c>
      <c r="N19" s="7"/>
      <c r="O19" s="105" t="s">
        <v>5</v>
      </c>
      <c r="P19" s="41" t="s">
        <v>27</v>
      </c>
    </row>
    <row r="20" spans="1:16" x14ac:dyDescent="0.2">
      <c r="A20" s="4" t="s">
        <v>15</v>
      </c>
      <c r="B20" s="275" t="s">
        <v>208</v>
      </c>
      <c r="C20" s="251"/>
      <c r="D20" s="54">
        <v>2</v>
      </c>
      <c r="E20" s="54">
        <v>2</v>
      </c>
      <c r="F20" s="54">
        <v>2</v>
      </c>
      <c r="G20" s="264">
        <v>0</v>
      </c>
      <c r="H20" s="55">
        <v>300</v>
      </c>
      <c r="I20" s="54">
        <v>20</v>
      </c>
      <c r="J20" s="10">
        <f>ROUND(I20*$J$3,0)</f>
        <v>12</v>
      </c>
      <c r="K20" s="10">
        <f>IF(G20=0,E20*$K$3,0)</f>
        <v>120</v>
      </c>
      <c r="L20" s="10">
        <f>IF(G20=0,E20*$L$3,0)</f>
        <v>50</v>
      </c>
      <c r="M20" s="10">
        <f>IF(G20=0,E20*$M$3,0)</f>
        <v>300</v>
      </c>
      <c r="N20" s="9"/>
      <c r="O20" s="8">
        <f>IF(G20&gt;0,G20*F20*D20,$D20*($H20+$J20+$K20+$L20+$M20)*$F20)</f>
        <v>3128</v>
      </c>
      <c r="P20" s="42"/>
    </row>
    <row r="21" spans="1:16" x14ac:dyDescent="0.2">
      <c r="B21" s="275" t="s">
        <v>273</v>
      </c>
      <c r="C21" s="251"/>
      <c r="D21" s="54">
        <v>50</v>
      </c>
      <c r="E21" s="54">
        <v>0</v>
      </c>
      <c r="F21" s="54">
        <v>2</v>
      </c>
      <c r="G21" s="264">
        <v>300</v>
      </c>
      <c r="H21" s="55">
        <v>0</v>
      </c>
      <c r="I21" s="54">
        <v>0</v>
      </c>
      <c r="J21" s="10">
        <f t="shared" ref="J21:J27" si="6">ROUND(I21*$J$3,0)</f>
        <v>0</v>
      </c>
      <c r="K21" s="10">
        <f>IF(G21=0,E21*$K$3,0)</f>
        <v>0</v>
      </c>
      <c r="L21" s="10">
        <f>IF(G21=0,E21*$L$3,0)</f>
        <v>0</v>
      </c>
      <c r="M21" s="10">
        <f>IF(G21=0,E21*$M$3,0)</f>
        <v>0</v>
      </c>
      <c r="N21" s="9"/>
      <c r="O21" s="8">
        <f t="shared" ref="O21:O27" si="7">IF(G21&gt;0,G21*F21*D21,$D21*($H21+$J21+$K21+$L21+$M21)*$F21)</f>
        <v>30000</v>
      </c>
      <c r="P21" s="42"/>
    </row>
    <row r="22" spans="1:16" x14ac:dyDescent="0.2">
      <c r="B22" s="276" t="s">
        <v>274</v>
      </c>
      <c r="C22" s="251"/>
      <c r="D22" s="54">
        <v>4</v>
      </c>
      <c r="E22" s="54">
        <v>2</v>
      </c>
      <c r="F22" s="54">
        <v>2</v>
      </c>
      <c r="G22" s="264">
        <v>0</v>
      </c>
      <c r="H22" s="55">
        <v>300</v>
      </c>
      <c r="I22" s="54">
        <v>20</v>
      </c>
      <c r="J22" s="10">
        <f t="shared" si="6"/>
        <v>12</v>
      </c>
      <c r="K22" s="10">
        <f>IF(G22=0,E22*$K$3,0)</f>
        <v>120</v>
      </c>
      <c r="L22" s="10">
        <f>IF(G22=0,E22*$L$3,0)</f>
        <v>50</v>
      </c>
      <c r="M22" s="10">
        <f>IF(G22=0,E22*$M$3,0)</f>
        <v>300</v>
      </c>
      <c r="N22" s="9"/>
      <c r="O22" s="8">
        <f t="shared" si="7"/>
        <v>6256</v>
      </c>
      <c r="P22" s="42"/>
    </row>
    <row r="23" spans="1:16" x14ac:dyDescent="0.2">
      <c r="B23" s="276"/>
      <c r="C23" s="251"/>
      <c r="D23" s="54">
        <v>0</v>
      </c>
      <c r="E23" s="54">
        <v>0</v>
      </c>
      <c r="F23" s="54">
        <v>0</v>
      </c>
      <c r="G23" s="264">
        <v>0</v>
      </c>
      <c r="H23" s="55">
        <v>0</v>
      </c>
      <c r="I23" s="54">
        <v>0</v>
      </c>
      <c r="J23" s="10">
        <f t="shared" si="6"/>
        <v>0</v>
      </c>
      <c r="K23" s="10">
        <f t="shared" ref="K23:K27" si="8">IF(G23=0,E23*$K$3,0)</f>
        <v>0</v>
      </c>
      <c r="L23" s="10">
        <f t="shared" ref="L23:L27" si="9">IF(G23=0,E23*$L$3,0)</f>
        <v>0</v>
      </c>
      <c r="M23" s="10">
        <f t="shared" ref="M23:M27" si="10">IF(G23=0,E23*$M$3,0)</f>
        <v>0</v>
      </c>
      <c r="N23" s="9"/>
      <c r="O23" s="8">
        <f t="shared" si="7"/>
        <v>0</v>
      </c>
      <c r="P23" s="42"/>
    </row>
    <row r="24" spans="1:16" x14ac:dyDescent="0.2">
      <c r="B24" s="275"/>
      <c r="C24" s="54"/>
      <c r="D24" s="54">
        <v>0</v>
      </c>
      <c r="E24" s="54">
        <v>0</v>
      </c>
      <c r="F24" s="54">
        <v>0</v>
      </c>
      <c r="G24" s="264">
        <v>0</v>
      </c>
      <c r="H24" s="55">
        <v>0</v>
      </c>
      <c r="I24" s="54">
        <v>0</v>
      </c>
      <c r="J24" s="10">
        <f t="shared" si="6"/>
        <v>0</v>
      </c>
      <c r="K24" s="10">
        <f t="shared" si="8"/>
        <v>0</v>
      </c>
      <c r="L24" s="10">
        <f t="shared" si="9"/>
        <v>0</v>
      </c>
      <c r="M24" s="10">
        <f t="shared" si="10"/>
        <v>0</v>
      </c>
      <c r="N24" s="9"/>
      <c r="O24" s="8">
        <f t="shared" si="7"/>
        <v>0</v>
      </c>
      <c r="P24" s="42"/>
    </row>
    <row r="25" spans="1:16" x14ac:dyDescent="0.2">
      <c r="A25" s="253"/>
      <c r="B25" s="277"/>
      <c r="C25" s="255"/>
      <c r="D25" s="255">
        <v>0</v>
      </c>
      <c r="E25" s="255">
        <v>0</v>
      </c>
      <c r="F25" s="255">
        <v>0</v>
      </c>
      <c r="G25" s="265">
        <v>0</v>
      </c>
      <c r="H25" s="256">
        <v>0</v>
      </c>
      <c r="I25" s="255">
        <v>0</v>
      </c>
      <c r="J25" s="10">
        <f t="shared" si="6"/>
        <v>0</v>
      </c>
      <c r="K25" s="10">
        <f t="shared" si="8"/>
        <v>0</v>
      </c>
      <c r="L25" s="10">
        <f t="shared" si="9"/>
        <v>0</v>
      </c>
      <c r="M25" s="10">
        <f t="shared" si="10"/>
        <v>0</v>
      </c>
      <c r="N25" s="9"/>
      <c r="O25" s="8">
        <f t="shared" si="7"/>
        <v>0</v>
      </c>
      <c r="P25" s="42"/>
    </row>
    <row r="26" spans="1:16" x14ac:dyDescent="0.2">
      <c r="A26" s="408" t="s">
        <v>16</v>
      </c>
      <c r="B26" s="56"/>
      <c r="C26" s="56"/>
      <c r="D26" s="54">
        <v>0</v>
      </c>
      <c r="E26" s="54">
        <v>0</v>
      </c>
      <c r="F26" s="54">
        <v>0</v>
      </c>
      <c r="G26" s="264">
        <v>0</v>
      </c>
      <c r="H26" s="55">
        <v>0</v>
      </c>
      <c r="I26" s="54">
        <v>0</v>
      </c>
      <c r="J26" s="10">
        <f t="shared" si="6"/>
        <v>0</v>
      </c>
      <c r="K26" s="10">
        <f t="shared" si="8"/>
        <v>0</v>
      </c>
      <c r="L26" s="10">
        <f t="shared" si="9"/>
        <v>0</v>
      </c>
      <c r="M26" s="10">
        <f t="shared" si="10"/>
        <v>0</v>
      </c>
      <c r="O26" s="8">
        <f t="shared" si="7"/>
        <v>0</v>
      </c>
      <c r="P26" s="42"/>
    </row>
    <row r="27" spans="1:16" x14ac:dyDescent="0.2">
      <c r="A27" s="409"/>
      <c r="B27" s="56"/>
      <c r="C27" s="56"/>
      <c r="D27" s="54">
        <v>0</v>
      </c>
      <c r="E27" s="54">
        <v>0</v>
      </c>
      <c r="F27" s="54">
        <v>0</v>
      </c>
      <c r="G27" s="264">
        <v>0</v>
      </c>
      <c r="H27" s="55">
        <v>0</v>
      </c>
      <c r="I27" s="54">
        <v>0</v>
      </c>
      <c r="J27" s="10">
        <f t="shared" si="6"/>
        <v>0</v>
      </c>
      <c r="K27" s="10">
        <f t="shared" si="8"/>
        <v>0</v>
      </c>
      <c r="L27" s="10">
        <f t="shared" si="9"/>
        <v>0</v>
      </c>
      <c r="M27" s="10">
        <f t="shared" si="10"/>
        <v>0</v>
      </c>
      <c r="O27" s="8">
        <f t="shared" si="7"/>
        <v>0</v>
      </c>
      <c r="P27" s="42"/>
    </row>
    <row r="28" spans="1:16" x14ac:dyDescent="0.2">
      <c r="A28" s="258"/>
      <c r="B28" s="259" t="s">
        <v>5</v>
      </c>
      <c r="C28" s="69" t="str">
        <f>A18</f>
        <v>YEAR 2</v>
      </c>
      <c r="D28" s="259">
        <f t="shared" ref="D28:M28" si="11">SUM(D20:D27)</f>
        <v>56</v>
      </c>
      <c r="E28" s="259">
        <f t="shared" si="11"/>
        <v>4</v>
      </c>
      <c r="F28" s="259">
        <f t="shared" si="11"/>
        <v>6</v>
      </c>
      <c r="G28" s="266">
        <f t="shared" si="11"/>
        <v>300</v>
      </c>
      <c r="H28" s="260">
        <f t="shared" si="11"/>
        <v>600</v>
      </c>
      <c r="I28" s="259">
        <f t="shared" si="11"/>
        <v>40</v>
      </c>
      <c r="J28" s="260">
        <f t="shared" si="11"/>
        <v>24</v>
      </c>
      <c r="K28" s="260">
        <f t="shared" si="11"/>
        <v>240</v>
      </c>
      <c r="L28" s="260">
        <f t="shared" si="11"/>
        <v>100</v>
      </c>
      <c r="M28" s="260">
        <f t="shared" si="11"/>
        <v>600</v>
      </c>
      <c r="N28" s="261"/>
      <c r="O28" s="262">
        <f>SUM(O20:O27)</f>
        <v>39384</v>
      </c>
      <c r="P28" s="257">
        <f>O28</f>
        <v>39384</v>
      </c>
    </row>
    <row r="31" spans="1:16" x14ac:dyDescent="0.2">
      <c r="A31" s="410" t="s">
        <v>111</v>
      </c>
      <c r="B31" s="410"/>
      <c r="C31" s="1"/>
      <c r="D31" s="1"/>
      <c r="E31" s="2"/>
      <c r="F31" s="1"/>
      <c r="G31" s="1"/>
      <c r="H31" s="1"/>
      <c r="I31" s="47"/>
      <c r="J31" s="48"/>
      <c r="K31" s="49"/>
      <c r="L31" s="49"/>
      <c r="M31" s="49"/>
      <c r="N31" s="1"/>
      <c r="O31" s="3"/>
    </row>
    <row r="32" spans="1:16" ht="22.5" x14ac:dyDescent="0.2">
      <c r="A32" s="39" t="s">
        <v>40</v>
      </c>
      <c r="B32" s="39" t="s">
        <v>176</v>
      </c>
      <c r="C32" s="40" t="s">
        <v>9</v>
      </c>
      <c r="D32" s="5" t="s">
        <v>8</v>
      </c>
      <c r="E32" s="6" t="s">
        <v>13</v>
      </c>
      <c r="F32" s="6" t="s">
        <v>14</v>
      </c>
      <c r="G32" s="263" t="s">
        <v>205</v>
      </c>
      <c r="H32" s="5" t="s">
        <v>10</v>
      </c>
      <c r="I32" s="5" t="s">
        <v>11</v>
      </c>
      <c r="J32" s="5" t="s">
        <v>12</v>
      </c>
      <c r="K32" s="5" t="s">
        <v>213</v>
      </c>
      <c r="L32" s="5" t="s">
        <v>206</v>
      </c>
      <c r="M32" s="5" t="s">
        <v>212</v>
      </c>
      <c r="N32" s="7"/>
      <c r="O32" s="105" t="s">
        <v>5</v>
      </c>
      <c r="P32" s="41" t="s">
        <v>27</v>
      </c>
    </row>
    <row r="33" spans="1:16" x14ac:dyDescent="0.2">
      <c r="A33" s="4" t="s">
        <v>15</v>
      </c>
      <c r="B33" s="275" t="s">
        <v>208</v>
      </c>
      <c r="C33" s="251"/>
      <c r="D33" s="54">
        <v>2</v>
      </c>
      <c r="E33" s="54">
        <v>2</v>
      </c>
      <c r="F33" s="54">
        <v>1</v>
      </c>
      <c r="G33" s="264">
        <v>0</v>
      </c>
      <c r="H33" s="55">
        <v>300</v>
      </c>
      <c r="I33" s="54">
        <v>20</v>
      </c>
      <c r="J33" s="10">
        <f>ROUND(I33*$J$3,0)</f>
        <v>12</v>
      </c>
      <c r="K33" s="10">
        <f>IF(G33=0,E33*$K$3,0)</f>
        <v>120</v>
      </c>
      <c r="L33" s="10">
        <f>IF(G33=0,E33*$L$3,0)</f>
        <v>50</v>
      </c>
      <c r="M33" s="10">
        <f>IF(G33=0,E33*$M$3,0)</f>
        <v>300</v>
      </c>
      <c r="N33" s="9"/>
      <c r="O33" s="8">
        <f>IF(G33&gt;0,G33*F33*D33,$D33*($H33+$J33+$K33+$L33+$M33)*$F33)</f>
        <v>1564</v>
      </c>
      <c r="P33" s="42"/>
    </row>
    <row r="34" spans="1:16" x14ac:dyDescent="0.2">
      <c r="B34" s="275" t="s">
        <v>273</v>
      </c>
      <c r="C34" s="251"/>
      <c r="D34" s="54">
        <v>50</v>
      </c>
      <c r="E34" s="54">
        <v>0</v>
      </c>
      <c r="F34" s="54">
        <v>1</v>
      </c>
      <c r="G34" s="264">
        <v>300</v>
      </c>
      <c r="H34" s="55">
        <v>0</v>
      </c>
      <c r="I34" s="54">
        <v>0</v>
      </c>
      <c r="J34" s="10">
        <f t="shared" ref="J34:J40" si="12">ROUND(I34*$J$3,0)</f>
        <v>0</v>
      </c>
      <c r="K34" s="10">
        <f>IF(G34=0,E34*$K$3,0)</f>
        <v>0</v>
      </c>
      <c r="L34" s="10">
        <f>IF(G34=0,E34*$L$3,0)</f>
        <v>0</v>
      </c>
      <c r="M34" s="10">
        <f>IF(G34=0,E34*$M$3,0)</f>
        <v>0</v>
      </c>
      <c r="N34" s="9"/>
      <c r="O34" s="8">
        <f t="shared" ref="O34:O40" si="13">IF(G34&gt;0,G34*F34*D34,$D34*($H34+$J34+$K34+$L34+$M34)*$F34)</f>
        <v>15000</v>
      </c>
      <c r="P34" s="42"/>
    </row>
    <row r="35" spans="1:16" x14ac:dyDescent="0.2">
      <c r="B35" s="276" t="s">
        <v>274</v>
      </c>
      <c r="C35" s="251"/>
      <c r="D35" s="54">
        <v>4</v>
      </c>
      <c r="E35" s="54">
        <v>2</v>
      </c>
      <c r="F35" s="54">
        <v>1</v>
      </c>
      <c r="G35" s="264">
        <v>0</v>
      </c>
      <c r="H35" s="55">
        <v>300</v>
      </c>
      <c r="I35" s="54">
        <v>20</v>
      </c>
      <c r="J35" s="10">
        <f t="shared" si="12"/>
        <v>12</v>
      </c>
      <c r="K35" s="10">
        <f>IF(G35=0,E35*$K$3,0)</f>
        <v>120</v>
      </c>
      <c r="L35" s="10">
        <f>IF(G35=0,E35*$L$3,0)</f>
        <v>50</v>
      </c>
      <c r="M35" s="10">
        <f>IF(G35=0,E35*$M$3,0)</f>
        <v>300</v>
      </c>
      <c r="N35" s="9"/>
      <c r="O35" s="8">
        <f t="shared" si="13"/>
        <v>3128</v>
      </c>
      <c r="P35" s="42"/>
    </row>
    <row r="36" spans="1:16" x14ac:dyDescent="0.2">
      <c r="B36" s="251"/>
      <c r="C36" s="54"/>
      <c r="D36" s="54">
        <v>0</v>
      </c>
      <c r="E36" s="54">
        <v>0</v>
      </c>
      <c r="F36" s="54">
        <v>0</v>
      </c>
      <c r="G36" s="264">
        <v>0</v>
      </c>
      <c r="H36" s="55">
        <v>0</v>
      </c>
      <c r="I36" s="54">
        <v>0</v>
      </c>
      <c r="J36" s="10">
        <f t="shared" si="12"/>
        <v>0</v>
      </c>
      <c r="K36" s="10">
        <f t="shared" ref="K36:K40" si="14">IF(G36=0,E36*$K$3,0)</f>
        <v>0</v>
      </c>
      <c r="L36" s="10">
        <f t="shared" ref="L36:L40" si="15">IF(G36=0,E36*$L$3,0)</f>
        <v>0</v>
      </c>
      <c r="M36" s="10">
        <f t="shared" ref="M36:M40" si="16">IF(G36=0,E36*$M$3,0)</f>
        <v>0</v>
      </c>
      <c r="N36" s="9"/>
      <c r="O36" s="8">
        <f t="shared" si="13"/>
        <v>0</v>
      </c>
      <c r="P36" s="42"/>
    </row>
    <row r="37" spans="1:16" x14ac:dyDescent="0.2">
      <c r="B37" s="251"/>
      <c r="C37" s="54"/>
      <c r="D37" s="54">
        <v>0</v>
      </c>
      <c r="E37" s="54">
        <v>0</v>
      </c>
      <c r="F37" s="54">
        <v>0</v>
      </c>
      <c r="G37" s="264">
        <v>0</v>
      </c>
      <c r="H37" s="55">
        <v>0</v>
      </c>
      <c r="I37" s="54">
        <v>0</v>
      </c>
      <c r="J37" s="10">
        <f t="shared" si="12"/>
        <v>0</v>
      </c>
      <c r="K37" s="10">
        <f t="shared" si="14"/>
        <v>0</v>
      </c>
      <c r="L37" s="10">
        <f t="shared" si="15"/>
        <v>0</v>
      </c>
      <c r="M37" s="10">
        <f t="shared" si="16"/>
        <v>0</v>
      </c>
      <c r="N37" s="9"/>
      <c r="O37" s="8">
        <f t="shared" si="13"/>
        <v>0</v>
      </c>
      <c r="P37" s="42"/>
    </row>
    <row r="38" spans="1:16" x14ac:dyDescent="0.2">
      <c r="A38" s="253"/>
      <c r="B38" s="254"/>
      <c r="C38" s="255"/>
      <c r="D38" s="255">
        <v>0</v>
      </c>
      <c r="E38" s="255">
        <v>0</v>
      </c>
      <c r="F38" s="255">
        <v>0</v>
      </c>
      <c r="G38" s="265">
        <v>0</v>
      </c>
      <c r="H38" s="256">
        <v>0</v>
      </c>
      <c r="I38" s="255">
        <v>0</v>
      </c>
      <c r="J38" s="10">
        <f t="shared" si="12"/>
        <v>0</v>
      </c>
      <c r="K38" s="10">
        <f t="shared" si="14"/>
        <v>0</v>
      </c>
      <c r="L38" s="10">
        <f t="shared" si="15"/>
        <v>0</v>
      </c>
      <c r="M38" s="10">
        <f t="shared" si="16"/>
        <v>0</v>
      </c>
      <c r="N38" s="9"/>
      <c r="O38" s="8">
        <f t="shared" si="13"/>
        <v>0</v>
      </c>
      <c r="P38" s="42"/>
    </row>
    <row r="39" spans="1:16" x14ac:dyDescent="0.2">
      <c r="A39" s="408" t="s">
        <v>16</v>
      </c>
      <c r="B39" s="56"/>
      <c r="C39" s="56"/>
      <c r="D39" s="54">
        <v>0</v>
      </c>
      <c r="E39" s="54">
        <v>0</v>
      </c>
      <c r="F39" s="54">
        <v>0</v>
      </c>
      <c r="G39" s="264">
        <v>0</v>
      </c>
      <c r="H39" s="55">
        <v>0</v>
      </c>
      <c r="I39" s="54">
        <v>0</v>
      </c>
      <c r="J39" s="10">
        <f t="shared" si="12"/>
        <v>0</v>
      </c>
      <c r="K39" s="10">
        <f t="shared" si="14"/>
        <v>0</v>
      </c>
      <c r="L39" s="10">
        <f t="shared" si="15"/>
        <v>0</v>
      </c>
      <c r="M39" s="10">
        <f t="shared" si="16"/>
        <v>0</v>
      </c>
      <c r="O39" s="8">
        <f t="shared" si="13"/>
        <v>0</v>
      </c>
      <c r="P39" s="42"/>
    </row>
    <row r="40" spans="1:16" x14ac:dyDescent="0.2">
      <c r="A40" s="409"/>
      <c r="B40" s="56"/>
      <c r="C40" s="56"/>
      <c r="D40" s="54">
        <v>0</v>
      </c>
      <c r="E40" s="54">
        <v>0</v>
      </c>
      <c r="F40" s="54">
        <v>0</v>
      </c>
      <c r="G40" s="264">
        <v>0</v>
      </c>
      <c r="H40" s="55">
        <v>0</v>
      </c>
      <c r="I40" s="54">
        <v>0</v>
      </c>
      <c r="J40" s="10">
        <f t="shared" si="12"/>
        <v>0</v>
      </c>
      <c r="K40" s="10">
        <f t="shared" si="14"/>
        <v>0</v>
      </c>
      <c r="L40" s="10">
        <f t="shared" si="15"/>
        <v>0</v>
      </c>
      <c r="M40" s="10">
        <f t="shared" si="16"/>
        <v>0</v>
      </c>
      <c r="O40" s="8">
        <f t="shared" si="13"/>
        <v>0</v>
      </c>
      <c r="P40" s="42"/>
    </row>
    <row r="41" spans="1:16" x14ac:dyDescent="0.2">
      <c r="A41" s="258"/>
      <c r="B41" s="259" t="s">
        <v>5</v>
      </c>
      <c r="C41" s="69" t="str">
        <f>A31</f>
        <v>YEAR 3</v>
      </c>
      <c r="D41" s="259">
        <f t="shared" ref="D41:M41" si="17">SUM(D33:D40)</f>
        <v>56</v>
      </c>
      <c r="E41" s="259">
        <f t="shared" si="17"/>
        <v>4</v>
      </c>
      <c r="F41" s="259">
        <f t="shared" si="17"/>
        <v>3</v>
      </c>
      <c r="G41" s="266">
        <f t="shared" si="17"/>
        <v>300</v>
      </c>
      <c r="H41" s="260">
        <f t="shared" si="17"/>
        <v>600</v>
      </c>
      <c r="I41" s="259">
        <f t="shared" si="17"/>
        <v>40</v>
      </c>
      <c r="J41" s="260">
        <f t="shared" si="17"/>
        <v>24</v>
      </c>
      <c r="K41" s="260">
        <f t="shared" si="17"/>
        <v>240</v>
      </c>
      <c r="L41" s="260">
        <f t="shared" si="17"/>
        <v>100</v>
      </c>
      <c r="M41" s="260">
        <f t="shared" si="17"/>
        <v>600</v>
      </c>
      <c r="N41" s="261"/>
      <c r="O41" s="262">
        <f>SUM(O33:O40)</f>
        <v>19692</v>
      </c>
      <c r="P41" s="257">
        <f>O41</f>
        <v>19692</v>
      </c>
    </row>
    <row r="44" spans="1:16" x14ac:dyDescent="0.2">
      <c r="A44" s="410" t="s">
        <v>112</v>
      </c>
      <c r="B44" s="410"/>
      <c r="C44" s="1"/>
      <c r="D44" s="1"/>
      <c r="E44" s="2"/>
      <c r="F44" s="1"/>
      <c r="G44" s="1"/>
      <c r="H44" s="1"/>
      <c r="I44" s="47"/>
      <c r="J44" s="48"/>
      <c r="K44" s="49"/>
      <c r="L44" s="49"/>
      <c r="M44" s="49"/>
      <c r="N44" s="1"/>
      <c r="O44" s="3"/>
    </row>
    <row r="45" spans="1:16" ht="22.5" x14ac:dyDescent="0.2">
      <c r="A45" s="39" t="s">
        <v>40</v>
      </c>
      <c r="B45" s="39" t="s">
        <v>176</v>
      </c>
      <c r="C45" s="40" t="s">
        <v>9</v>
      </c>
      <c r="D45" s="5" t="s">
        <v>8</v>
      </c>
      <c r="E45" s="6" t="s">
        <v>13</v>
      </c>
      <c r="F45" s="6" t="s">
        <v>14</v>
      </c>
      <c r="G45" s="263" t="s">
        <v>205</v>
      </c>
      <c r="H45" s="5" t="s">
        <v>10</v>
      </c>
      <c r="I45" s="5" t="s">
        <v>11</v>
      </c>
      <c r="J45" s="5" t="s">
        <v>12</v>
      </c>
      <c r="K45" s="5" t="s">
        <v>213</v>
      </c>
      <c r="L45" s="5" t="s">
        <v>206</v>
      </c>
      <c r="M45" s="5" t="s">
        <v>212</v>
      </c>
      <c r="N45" s="7"/>
      <c r="O45" s="105" t="s">
        <v>5</v>
      </c>
      <c r="P45" s="41" t="s">
        <v>27</v>
      </c>
    </row>
    <row r="46" spans="1:16" x14ac:dyDescent="0.2">
      <c r="A46" s="4" t="s">
        <v>15</v>
      </c>
      <c r="B46" s="251"/>
      <c r="C46" s="251"/>
      <c r="D46" s="54">
        <v>0</v>
      </c>
      <c r="E46" s="54">
        <v>0</v>
      </c>
      <c r="F46" s="54">
        <v>0</v>
      </c>
      <c r="G46" s="264">
        <v>0</v>
      </c>
      <c r="H46" s="55">
        <v>0</v>
      </c>
      <c r="I46" s="54">
        <v>0</v>
      </c>
      <c r="J46" s="10">
        <f>ROUND(I46*$J$3,0)</f>
        <v>0</v>
      </c>
      <c r="K46" s="10">
        <f>IF(G46=0,E46*$K$3,0)</f>
        <v>0</v>
      </c>
      <c r="L46" s="10">
        <f>IF(G46=0,E46*$L$3,0)</f>
        <v>0</v>
      </c>
      <c r="M46" s="10">
        <f>IF(G46=0,E46*$M$3,0)</f>
        <v>0</v>
      </c>
      <c r="N46" s="9"/>
      <c r="O46" s="8">
        <f>IF(G46&gt;0,G46*F46*D46,$D46*($H46+$J46+$K46+$L46+$M46)*$F46)</f>
        <v>0</v>
      </c>
      <c r="P46" s="42"/>
    </row>
    <row r="47" spans="1:16" x14ac:dyDescent="0.2">
      <c r="B47" s="251"/>
      <c r="C47" s="251"/>
      <c r="D47" s="54">
        <v>0</v>
      </c>
      <c r="E47" s="54">
        <v>0</v>
      </c>
      <c r="F47" s="54">
        <v>0</v>
      </c>
      <c r="G47" s="264">
        <v>0</v>
      </c>
      <c r="H47" s="55">
        <v>0</v>
      </c>
      <c r="I47" s="54">
        <v>0</v>
      </c>
      <c r="J47" s="10">
        <f t="shared" ref="J47:J53" si="18">ROUND(I47*$J$3,0)</f>
        <v>0</v>
      </c>
      <c r="K47" s="10">
        <f>IF(G47=0,E47*$K$3,0)</f>
        <v>0</v>
      </c>
      <c r="L47" s="10">
        <f>IF(G47=0,E47*$L$3,0)</f>
        <v>0</v>
      </c>
      <c r="M47" s="10">
        <f>IF(G47=0,E47*$M$3,0)</f>
        <v>0</v>
      </c>
      <c r="N47" s="9"/>
      <c r="O47" s="8">
        <f t="shared" ref="O47:O53" si="19">IF(G47&gt;0,G47*F47*D47,$D47*($H47+$J47+$K47+$L47+$M47)*$F47)</f>
        <v>0</v>
      </c>
      <c r="P47" s="42"/>
    </row>
    <row r="48" spans="1:16" x14ac:dyDescent="0.2">
      <c r="B48" s="252"/>
      <c r="C48" s="251"/>
      <c r="D48" s="54">
        <v>0</v>
      </c>
      <c r="E48" s="54">
        <v>0</v>
      </c>
      <c r="F48" s="54">
        <v>0</v>
      </c>
      <c r="G48" s="264">
        <v>0</v>
      </c>
      <c r="H48" s="55">
        <v>0</v>
      </c>
      <c r="I48" s="54">
        <v>0</v>
      </c>
      <c r="J48" s="10">
        <f t="shared" si="18"/>
        <v>0</v>
      </c>
      <c r="K48" s="10">
        <f>IF(G48=0,E48*$K$3,0)</f>
        <v>0</v>
      </c>
      <c r="L48" s="10">
        <f>IF(G48=0,E48*$L$3,0)</f>
        <v>0</v>
      </c>
      <c r="M48" s="10">
        <f>IF(G48=0,E48*$M$3,0)</f>
        <v>0</v>
      </c>
      <c r="N48" s="9"/>
      <c r="O48" s="8">
        <f t="shared" si="19"/>
        <v>0</v>
      </c>
      <c r="P48" s="42"/>
    </row>
    <row r="49" spans="1:16" x14ac:dyDescent="0.2">
      <c r="B49" s="251"/>
      <c r="C49" s="54"/>
      <c r="D49" s="54">
        <v>0</v>
      </c>
      <c r="E49" s="54">
        <v>0</v>
      </c>
      <c r="F49" s="54">
        <v>0</v>
      </c>
      <c r="G49" s="264">
        <v>0</v>
      </c>
      <c r="H49" s="55">
        <v>0</v>
      </c>
      <c r="I49" s="54">
        <v>0</v>
      </c>
      <c r="J49" s="10">
        <f t="shared" si="18"/>
        <v>0</v>
      </c>
      <c r="K49" s="10">
        <f t="shared" ref="K49:K53" si="20">IF(G49=0,E49*$K$3,0)</f>
        <v>0</v>
      </c>
      <c r="L49" s="10">
        <f t="shared" ref="L49:L53" si="21">IF(G49=0,E49*$L$3,0)</f>
        <v>0</v>
      </c>
      <c r="M49" s="10">
        <f t="shared" ref="M49:M53" si="22">IF(G49=0,E49*$M$3,0)</f>
        <v>0</v>
      </c>
      <c r="N49" s="9"/>
      <c r="O49" s="8">
        <f t="shared" si="19"/>
        <v>0</v>
      </c>
      <c r="P49" s="42"/>
    </row>
    <row r="50" spans="1:16" x14ac:dyDescent="0.2">
      <c r="B50" s="251"/>
      <c r="C50" s="54"/>
      <c r="D50" s="54">
        <v>0</v>
      </c>
      <c r="E50" s="54">
        <v>0</v>
      </c>
      <c r="F50" s="54">
        <v>0</v>
      </c>
      <c r="G50" s="264">
        <v>0</v>
      </c>
      <c r="H50" s="55">
        <v>0</v>
      </c>
      <c r="I50" s="54">
        <v>0</v>
      </c>
      <c r="J50" s="10">
        <f t="shared" si="18"/>
        <v>0</v>
      </c>
      <c r="K50" s="10">
        <f t="shared" si="20"/>
        <v>0</v>
      </c>
      <c r="L50" s="10">
        <f t="shared" si="21"/>
        <v>0</v>
      </c>
      <c r="M50" s="10">
        <f t="shared" si="22"/>
        <v>0</v>
      </c>
      <c r="N50" s="9"/>
      <c r="O50" s="8">
        <f t="shared" si="19"/>
        <v>0</v>
      </c>
      <c r="P50" s="42"/>
    </row>
    <row r="51" spans="1:16" x14ac:dyDescent="0.2">
      <c r="A51" s="253"/>
      <c r="B51" s="254"/>
      <c r="C51" s="255"/>
      <c r="D51" s="255">
        <v>0</v>
      </c>
      <c r="E51" s="255">
        <v>0</v>
      </c>
      <c r="F51" s="255">
        <v>0</v>
      </c>
      <c r="G51" s="265">
        <v>0</v>
      </c>
      <c r="H51" s="256">
        <v>0</v>
      </c>
      <c r="I51" s="255">
        <v>0</v>
      </c>
      <c r="J51" s="10">
        <f t="shared" si="18"/>
        <v>0</v>
      </c>
      <c r="K51" s="10">
        <f t="shared" si="20"/>
        <v>0</v>
      </c>
      <c r="L51" s="10">
        <f t="shared" si="21"/>
        <v>0</v>
      </c>
      <c r="M51" s="10">
        <f t="shared" si="22"/>
        <v>0</v>
      </c>
      <c r="N51" s="9"/>
      <c r="O51" s="8">
        <f t="shared" si="19"/>
        <v>0</v>
      </c>
      <c r="P51" s="42"/>
    </row>
    <row r="52" spans="1:16" x14ac:dyDescent="0.2">
      <c r="A52" s="408" t="s">
        <v>16</v>
      </c>
      <c r="B52" s="56"/>
      <c r="C52" s="56"/>
      <c r="D52" s="54">
        <v>0</v>
      </c>
      <c r="E52" s="54">
        <v>0</v>
      </c>
      <c r="F52" s="54">
        <v>0</v>
      </c>
      <c r="G52" s="264">
        <v>0</v>
      </c>
      <c r="H52" s="55">
        <v>0</v>
      </c>
      <c r="I52" s="54">
        <v>0</v>
      </c>
      <c r="J52" s="10">
        <f t="shared" si="18"/>
        <v>0</v>
      </c>
      <c r="K52" s="10">
        <f t="shared" si="20"/>
        <v>0</v>
      </c>
      <c r="L52" s="10">
        <f t="shared" si="21"/>
        <v>0</v>
      </c>
      <c r="M52" s="10">
        <f t="shared" si="22"/>
        <v>0</v>
      </c>
      <c r="O52" s="8">
        <f t="shared" si="19"/>
        <v>0</v>
      </c>
      <c r="P52" s="42"/>
    </row>
    <row r="53" spans="1:16" x14ac:dyDescent="0.2">
      <c r="A53" s="409"/>
      <c r="B53" s="56"/>
      <c r="C53" s="56"/>
      <c r="D53" s="54">
        <v>0</v>
      </c>
      <c r="E53" s="54">
        <v>0</v>
      </c>
      <c r="F53" s="54">
        <v>0</v>
      </c>
      <c r="G53" s="264">
        <v>0</v>
      </c>
      <c r="H53" s="55">
        <v>0</v>
      </c>
      <c r="I53" s="54">
        <v>0</v>
      </c>
      <c r="J53" s="10">
        <f t="shared" si="18"/>
        <v>0</v>
      </c>
      <c r="K53" s="10">
        <f t="shared" si="20"/>
        <v>0</v>
      </c>
      <c r="L53" s="10">
        <f t="shared" si="21"/>
        <v>0</v>
      </c>
      <c r="M53" s="10">
        <f t="shared" si="22"/>
        <v>0</v>
      </c>
      <c r="O53" s="8">
        <f t="shared" si="19"/>
        <v>0</v>
      </c>
      <c r="P53" s="42"/>
    </row>
    <row r="54" spans="1:16" x14ac:dyDescent="0.2">
      <c r="A54" s="258"/>
      <c r="B54" s="259" t="s">
        <v>5</v>
      </c>
      <c r="C54" s="69" t="str">
        <f>A44</f>
        <v>YEAR 4</v>
      </c>
      <c r="D54" s="259">
        <f t="shared" ref="D54:F54" si="23">SUM(D46:D53)</f>
        <v>0</v>
      </c>
      <c r="E54" s="259">
        <f t="shared" si="23"/>
        <v>0</v>
      </c>
      <c r="F54" s="259">
        <f t="shared" si="23"/>
        <v>0</v>
      </c>
      <c r="G54" s="266">
        <f t="shared" ref="G54:M54" si="24">SUM(G46:G53)</f>
        <v>0</v>
      </c>
      <c r="H54" s="260">
        <f t="shared" si="24"/>
        <v>0</v>
      </c>
      <c r="I54" s="259">
        <f t="shared" si="24"/>
        <v>0</v>
      </c>
      <c r="J54" s="260">
        <f t="shared" si="24"/>
        <v>0</v>
      </c>
      <c r="K54" s="260">
        <f t="shared" si="24"/>
        <v>0</v>
      </c>
      <c r="L54" s="260">
        <f t="shared" si="24"/>
        <v>0</v>
      </c>
      <c r="M54" s="260">
        <f t="shared" si="24"/>
        <v>0</v>
      </c>
      <c r="N54" s="261"/>
      <c r="O54" s="262">
        <f>SUM(O46:O53)</f>
        <v>0</v>
      </c>
      <c r="P54" s="257">
        <f>O54</f>
        <v>0</v>
      </c>
    </row>
    <row r="56" spans="1:16" hidden="1" x14ac:dyDescent="0.2"/>
    <row r="57" spans="1:16" hidden="1" x14ac:dyDescent="0.2">
      <c r="A57" s="410" t="s">
        <v>113</v>
      </c>
      <c r="B57" s="410"/>
      <c r="C57" s="1"/>
      <c r="D57" s="1"/>
      <c r="E57" s="2"/>
      <c r="F57" s="1"/>
      <c r="G57" s="1"/>
      <c r="H57" s="1"/>
      <c r="I57" s="47"/>
      <c r="J57" s="48"/>
      <c r="K57" s="49"/>
      <c r="L57" s="49"/>
      <c r="M57" s="49"/>
      <c r="N57" s="1"/>
      <c r="O57" s="3"/>
    </row>
    <row r="58" spans="1:16" ht="22.5" hidden="1" x14ac:dyDescent="0.2">
      <c r="A58" s="39" t="s">
        <v>40</v>
      </c>
      <c r="B58" s="39" t="s">
        <v>176</v>
      </c>
      <c r="C58" s="40" t="s">
        <v>9</v>
      </c>
      <c r="D58" s="5" t="s">
        <v>8</v>
      </c>
      <c r="E58" s="6" t="s">
        <v>13</v>
      </c>
      <c r="F58" s="6" t="s">
        <v>14</v>
      </c>
      <c r="G58" s="263" t="s">
        <v>205</v>
      </c>
      <c r="H58" s="5" t="s">
        <v>10</v>
      </c>
      <c r="I58" s="5" t="s">
        <v>11</v>
      </c>
      <c r="J58" s="5" t="s">
        <v>12</v>
      </c>
      <c r="K58" s="5" t="s">
        <v>213</v>
      </c>
      <c r="L58" s="5" t="s">
        <v>206</v>
      </c>
      <c r="M58" s="5" t="s">
        <v>212</v>
      </c>
      <c r="N58" s="7"/>
      <c r="O58" s="105" t="s">
        <v>5</v>
      </c>
      <c r="P58" s="41" t="s">
        <v>27</v>
      </c>
    </row>
    <row r="59" spans="1:16" hidden="1" x14ac:dyDescent="0.2">
      <c r="A59" s="4" t="s">
        <v>15</v>
      </c>
      <c r="B59" s="251"/>
      <c r="C59" s="251"/>
      <c r="D59" s="54">
        <v>0</v>
      </c>
      <c r="E59" s="54">
        <v>0</v>
      </c>
      <c r="F59" s="54">
        <v>0</v>
      </c>
      <c r="G59" s="264">
        <v>0</v>
      </c>
      <c r="H59" s="55">
        <v>0</v>
      </c>
      <c r="I59" s="54">
        <v>0</v>
      </c>
      <c r="J59" s="10">
        <f>ROUND(I59*$J$3,0)</f>
        <v>0</v>
      </c>
      <c r="K59" s="10">
        <f>IF(G59=0,E59*$K$3,0)</f>
        <v>0</v>
      </c>
      <c r="L59" s="10">
        <f>IF(G59=0,E59*$L$3,0)</f>
        <v>0</v>
      </c>
      <c r="M59" s="10">
        <f>IF(G59=0,E59*$M$3,0)</f>
        <v>0</v>
      </c>
      <c r="N59" s="9"/>
      <c r="O59" s="8">
        <f>IF(G59&gt;0,G59*F59*D59,$D59*($H59+$J59+$K59+$L59+$M59)*$F59)</f>
        <v>0</v>
      </c>
      <c r="P59" s="42"/>
    </row>
    <row r="60" spans="1:16" hidden="1" x14ac:dyDescent="0.2">
      <c r="B60" s="251"/>
      <c r="C60" s="251"/>
      <c r="D60" s="54">
        <v>0</v>
      </c>
      <c r="E60" s="54">
        <v>0</v>
      </c>
      <c r="F60" s="54">
        <v>0</v>
      </c>
      <c r="G60" s="264">
        <v>0</v>
      </c>
      <c r="H60" s="55">
        <v>0</v>
      </c>
      <c r="I60" s="54">
        <v>0</v>
      </c>
      <c r="J60" s="10">
        <f t="shared" ref="J60:J66" si="25">ROUND(I60*$J$3,0)</f>
        <v>0</v>
      </c>
      <c r="K60" s="10">
        <f>IF(G60=0,E60*$K$3,0)</f>
        <v>0</v>
      </c>
      <c r="L60" s="10">
        <f>IF(G60=0,E60*$L$3,0)</f>
        <v>0</v>
      </c>
      <c r="M60" s="10">
        <f>IF(G60=0,E60*$M$3,0)</f>
        <v>0</v>
      </c>
      <c r="N60" s="9"/>
      <c r="O60" s="8">
        <f t="shared" ref="O60:O66" si="26">IF(G60&gt;0,G60*F60*D60,$D60*($H60+$J60+$K60+$L60+$M60)*$F60)</f>
        <v>0</v>
      </c>
      <c r="P60" s="42"/>
    </row>
    <row r="61" spans="1:16" hidden="1" x14ac:dyDescent="0.2">
      <c r="B61" s="252"/>
      <c r="C61" s="251"/>
      <c r="D61" s="54">
        <v>0</v>
      </c>
      <c r="E61" s="54">
        <v>0</v>
      </c>
      <c r="F61" s="54">
        <v>0</v>
      </c>
      <c r="G61" s="264">
        <v>0</v>
      </c>
      <c r="H61" s="55">
        <v>0</v>
      </c>
      <c r="I61" s="54">
        <v>0</v>
      </c>
      <c r="J61" s="10">
        <f t="shared" si="25"/>
        <v>0</v>
      </c>
      <c r="K61" s="10">
        <f>IF(G61=0,E61*$K$3,0)</f>
        <v>0</v>
      </c>
      <c r="L61" s="10">
        <f>IF(G61=0,E61*$L$3,0)</f>
        <v>0</v>
      </c>
      <c r="M61" s="10">
        <f>IF(G61=0,E61*$M$3,0)</f>
        <v>0</v>
      </c>
      <c r="N61" s="9"/>
      <c r="O61" s="8">
        <f t="shared" si="26"/>
        <v>0</v>
      </c>
      <c r="P61" s="42"/>
    </row>
    <row r="62" spans="1:16" hidden="1" x14ac:dyDescent="0.2">
      <c r="B62" s="251"/>
      <c r="C62" s="54"/>
      <c r="D62" s="54">
        <v>0</v>
      </c>
      <c r="E62" s="54">
        <v>0</v>
      </c>
      <c r="F62" s="54">
        <v>0</v>
      </c>
      <c r="G62" s="264">
        <v>0</v>
      </c>
      <c r="H62" s="55">
        <v>0</v>
      </c>
      <c r="I62" s="54">
        <v>0</v>
      </c>
      <c r="J62" s="10">
        <f t="shared" si="25"/>
        <v>0</v>
      </c>
      <c r="K62" s="10">
        <f t="shared" ref="K62:K66" si="27">IF(G62=0,E62*$K$3,0)</f>
        <v>0</v>
      </c>
      <c r="L62" s="10">
        <f t="shared" ref="L62:L66" si="28">IF(G62=0,E62*$L$3,0)</f>
        <v>0</v>
      </c>
      <c r="M62" s="10">
        <f t="shared" ref="M62:M66" si="29">IF(G62=0,E62*$M$3,0)</f>
        <v>0</v>
      </c>
      <c r="N62" s="9"/>
      <c r="O62" s="8">
        <f t="shared" si="26"/>
        <v>0</v>
      </c>
      <c r="P62" s="42"/>
    </row>
    <row r="63" spans="1:16" hidden="1" x14ac:dyDescent="0.2">
      <c r="B63" s="251"/>
      <c r="C63" s="54"/>
      <c r="D63" s="54">
        <v>0</v>
      </c>
      <c r="E63" s="54">
        <v>0</v>
      </c>
      <c r="F63" s="54">
        <v>0</v>
      </c>
      <c r="G63" s="264">
        <v>0</v>
      </c>
      <c r="H63" s="55">
        <v>0</v>
      </c>
      <c r="I63" s="54">
        <v>0</v>
      </c>
      <c r="J63" s="10">
        <f t="shared" si="25"/>
        <v>0</v>
      </c>
      <c r="K63" s="10">
        <f t="shared" si="27"/>
        <v>0</v>
      </c>
      <c r="L63" s="10">
        <f t="shared" si="28"/>
        <v>0</v>
      </c>
      <c r="M63" s="10">
        <f t="shared" si="29"/>
        <v>0</v>
      </c>
      <c r="N63" s="9"/>
      <c r="O63" s="8">
        <f t="shared" si="26"/>
        <v>0</v>
      </c>
      <c r="P63" s="42"/>
    </row>
    <row r="64" spans="1:16" hidden="1" x14ac:dyDescent="0.2">
      <c r="A64" s="253"/>
      <c r="B64" s="254"/>
      <c r="C64" s="255"/>
      <c r="D64" s="255">
        <v>0</v>
      </c>
      <c r="E64" s="255">
        <v>0</v>
      </c>
      <c r="F64" s="255">
        <v>0</v>
      </c>
      <c r="G64" s="265">
        <v>0</v>
      </c>
      <c r="H64" s="256">
        <v>0</v>
      </c>
      <c r="I64" s="255">
        <v>0</v>
      </c>
      <c r="J64" s="10">
        <f t="shared" si="25"/>
        <v>0</v>
      </c>
      <c r="K64" s="10">
        <f t="shared" si="27"/>
        <v>0</v>
      </c>
      <c r="L64" s="10">
        <f t="shared" si="28"/>
        <v>0</v>
      </c>
      <c r="M64" s="10">
        <f t="shared" si="29"/>
        <v>0</v>
      </c>
      <c r="N64" s="9"/>
      <c r="O64" s="8">
        <f t="shared" si="26"/>
        <v>0</v>
      </c>
      <c r="P64" s="42"/>
    </row>
    <row r="65" spans="1:16" hidden="1" x14ac:dyDescent="0.2">
      <c r="A65" s="408" t="s">
        <v>16</v>
      </c>
      <c r="B65" s="56"/>
      <c r="C65" s="56"/>
      <c r="D65" s="54">
        <v>0</v>
      </c>
      <c r="E65" s="54">
        <v>0</v>
      </c>
      <c r="F65" s="54">
        <v>0</v>
      </c>
      <c r="G65" s="264">
        <v>0</v>
      </c>
      <c r="H65" s="55">
        <v>0</v>
      </c>
      <c r="I65" s="54">
        <v>0</v>
      </c>
      <c r="J65" s="10">
        <f t="shared" si="25"/>
        <v>0</v>
      </c>
      <c r="K65" s="10">
        <f t="shared" si="27"/>
        <v>0</v>
      </c>
      <c r="L65" s="10">
        <f t="shared" si="28"/>
        <v>0</v>
      </c>
      <c r="M65" s="10">
        <f t="shared" si="29"/>
        <v>0</v>
      </c>
      <c r="O65" s="8">
        <f t="shared" si="26"/>
        <v>0</v>
      </c>
      <c r="P65" s="42"/>
    </row>
    <row r="66" spans="1:16" hidden="1" x14ac:dyDescent="0.2">
      <c r="A66" s="409"/>
      <c r="B66" s="56"/>
      <c r="C66" s="56"/>
      <c r="D66" s="54">
        <v>0</v>
      </c>
      <c r="E66" s="54">
        <v>0</v>
      </c>
      <c r="F66" s="54">
        <v>0</v>
      </c>
      <c r="G66" s="264">
        <v>0</v>
      </c>
      <c r="H66" s="55">
        <v>0</v>
      </c>
      <c r="I66" s="54">
        <v>0</v>
      </c>
      <c r="J66" s="10">
        <f t="shared" si="25"/>
        <v>0</v>
      </c>
      <c r="K66" s="10">
        <f t="shared" si="27"/>
        <v>0</v>
      </c>
      <c r="L66" s="10">
        <f t="shared" si="28"/>
        <v>0</v>
      </c>
      <c r="M66" s="10">
        <f t="shared" si="29"/>
        <v>0</v>
      </c>
      <c r="O66" s="8">
        <f t="shared" si="26"/>
        <v>0</v>
      </c>
      <c r="P66" s="42"/>
    </row>
    <row r="67" spans="1:16" hidden="1" x14ac:dyDescent="0.2">
      <c r="A67" s="258"/>
      <c r="B67" s="259" t="s">
        <v>5</v>
      </c>
      <c r="C67" s="69" t="str">
        <f>A57</f>
        <v>YEAR 5</v>
      </c>
      <c r="D67" s="259">
        <f t="shared" ref="D67:M67" si="30">SUM(D59:D66)</f>
        <v>0</v>
      </c>
      <c r="E67" s="259">
        <f t="shared" si="30"/>
        <v>0</v>
      </c>
      <c r="F67" s="259">
        <f t="shared" si="30"/>
        <v>0</v>
      </c>
      <c r="G67" s="266">
        <f t="shared" si="30"/>
        <v>0</v>
      </c>
      <c r="H67" s="260">
        <f t="shared" si="30"/>
        <v>0</v>
      </c>
      <c r="I67" s="259">
        <f t="shared" si="30"/>
        <v>0</v>
      </c>
      <c r="J67" s="260">
        <f t="shared" si="30"/>
        <v>0</v>
      </c>
      <c r="K67" s="260">
        <f t="shared" si="30"/>
        <v>0</v>
      </c>
      <c r="L67" s="260">
        <f t="shared" si="30"/>
        <v>0</v>
      </c>
      <c r="M67" s="260">
        <f t="shared" si="30"/>
        <v>0</v>
      </c>
      <c r="N67" s="261"/>
      <c r="O67" s="262">
        <f>SUM(O59:O66)</f>
        <v>0</v>
      </c>
      <c r="P67" s="257">
        <f>O67</f>
        <v>0</v>
      </c>
    </row>
    <row r="68" spans="1:16" hidden="1" x14ac:dyDescent="0.2"/>
    <row r="69" spans="1:16" x14ac:dyDescent="0.2">
      <c r="A69" s="267" t="s">
        <v>234</v>
      </c>
      <c r="B69" s="267"/>
      <c r="C69" s="267"/>
      <c r="D69" s="267"/>
      <c r="E69" s="267"/>
      <c r="F69" s="267"/>
      <c r="G69" s="267"/>
      <c r="H69" s="267"/>
      <c r="I69" s="284"/>
      <c r="J69" s="284"/>
      <c r="K69" s="284"/>
      <c r="L69" s="284"/>
      <c r="M69" s="284"/>
    </row>
  </sheetData>
  <mergeCells count="11">
    <mergeCell ref="A2:C3"/>
    <mergeCell ref="A65:A66"/>
    <mergeCell ref="A26:A27"/>
    <mergeCell ref="A5:B5"/>
    <mergeCell ref="A18:B18"/>
    <mergeCell ref="A31:B31"/>
    <mergeCell ref="A44:B44"/>
    <mergeCell ref="A57:B57"/>
    <mergeCell ref="A13:A14"/>
    <mergeCell ref="A39:A40"/>
    <mergeCell ref="A52:A53"/>
  </mergeCells>
  <phoneticPr fontId="1" type="noConversion"/>
  <printOptions horizontalCentered="1"/>
  <pageMargins left="0.25" right="0.5" top="0.5" bottom="0.5" header="0.5" footer="0.5"/>
  <pageSetup scale="72"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G52"/>
  <sheetViews>
    <sheetView workbookViewId="0">
      <selection activeCell="A6" sqref="A6"/>
    </sheetView>
  </sheetViews>
  <sheetFormatPr defaultColWidth="8.75" defaultRowHeight="12.75" x14ac:dyDescent="0.2"/>
  <cols>
    <col min="1" max="1" width="22.375" style="4" customWidth="1"/>
    <col min="2" max="5" width="10.875" style="4" customWidth="1"/>
    <col min="6" max="6" width="10" style="4" customWidth="1"/>
    <col min="7" max="16384" width="8.75" style="4"/>
  </cols>
  <sheetData>
    <row r="1" spans="1:7" ht="15.75" x14ac:dyDescent="0.25">
      <c r="A1" s="64" t="s">
        <v>134</v>
      </c>
      <c r="E1" s="355"/>
      <c r="F1" s="355"/>
    </row>
    <row r="2" spans="1:7" ht="13.7" customHeight="1" x14ac:dyDescent="0.2">
      <c r="A2" s="407" t="s">
        <v>245</v>
      </c>
      <c r="B2" s="407"/>
      <c r="C2" s="301"/>
      <c r="D2" s="53" t="s">
        <v>177</v>
      </c>
      <c r="E2" s="358" t="s">
        <v>53</v>
      </c>
      <c r="F2" s="359">
        <v>0.05</v>
      </c>
    </row>
    <row r="3" spans="1:7" x14ac:dyDescent="0.2">
      <c r="A3" s="407"/>
      <c r="B3" s="407"/>
      <c r="C3" s="301"/>
    </row>
    <row r="4" spans="1:7" x14ac:dyDescent="0.2">
      <c r="A4" s="93" t="s">
        <v>175</v>
      </c>
      <c r="B4" s="92"/>
      <c r="C4" s="1"/>
      <c r="D4" s="1"/>
    </row>
    <row r="5" spans="1:7" ht="13.5" thickBot="1" x14ac:dyDescent="0.25">
      <c r="A5" s="94" t="s">
        <v>104</v>
      </c>
      <c r="B5" s="61"/>
      <c r="C5" s="61" t="s">
        <v>105</v>
      </c>
      <c r="D5" s="61" t="s">
        <v>106</v>
      </c>
      <c r="E5" s="61" t="s">
        <v>107</v>
      </c>
      <c r="F5" s="61" t="s">
        <v>108</v>
      </c>
      <c r="G5" s="41" t="s">
        <v>27</v>
      </c>
    </row>
    <row r="6" spans="1:7" x14ac:dyDescent="0.2">
      <c r="A6" s="244" t="s">
        <v>243</v>
      </c>
      <c r="B6" s="62"/>
      <c r="C6" s="274">
        <v>100</v>
      </c>
      <c r="D6" s="101" t="s">
        <v>275</v>
      </c>
      <c r="E6" s="101">
        <v>10</v>
      </c>
      <c r="F6" s="63">
        <f>E6*C6</f>
        <v>1000</v>
      </c>
      <c r="G6" s="42"/>
    </row>
    <row r="7" spans="1:7" x14ac:dyDescent="0.2">
      <c r="A7" s="245" t="s">
        <v>244</v>
      </c>
      <c r="B7" s="16"/>
      <c r="C7" s="281">
        <v>200</v>
      </c>
      <c r="D7" s="102" t="s">
        <v>276</v>
      </c>
      <c r="E7" s="102">
        <v>20</v>
      </c>
      <c r="F7" s="43">
        <f t="shared" ref="F7:F11" si="0">E7*C7</f>
        <v>4000</v>
      </c>
      <c r="G7" s="42"/>
    </row>
    <row r="8" spans="1:7" x14ac:dyDescent="0.2">
      <c r="A8" s="245" t="s">
        <v>135</v>
      </c>
      <c r="B8" s="16"/>
      <c r="C8" s="281">
        <v>50</v>
      </c>
      <c r="D8" s="102" t="s">
        <v>277</v>
      </c>
      <c r="E8" s="102">
        <v>50</v>
      </c>
      <c r="F8" s="43">
        <f t="shared" si="0"/>
        <v>2500</v>
      </c>
      <c r="G8" s="42"/>
    </row>
    <row r="9" spans="1:7" x14ac:dyDescent="0.2">
      <c r="A9" s="245" t="s">
        <v>136</v>
      </c>
      <c r="B9" s="16"/>
      <c r="C9" s="281">
        <v>0</v>
      </c>
      <c r="D9" s="102"/>
      <c r="E9" s="102">
        <v>0</v>
      </c>
      <c r="F9" s="43">
        <f t="shared" si="0"/>
        <v>0</v>
      </c>
      <c r="G9" s="42"/>
    </row>
    <row r="10" spans="1:7" x14ac:dyDescent="0.2">
      <c r="A10" s="245" t="s">
        <v>137</v>
      </c>
      <c r="B10" s="16"/>
      <c r="C10" s="281">
        <v>0</v>
      </c>
      <c r="D10" s="102"/>
      <c r="E10" s="102">
        <v>0</v>
      </c>
      <c r="F10" s="43">
        <f t="shared" si="0"/>
        <v>0</v>
      </c>
      <c r="G10" s="42"/>
    </row>
    <row r="11" spans="1:7" x14ac:dyDescent="0.2">
      <c r="A11" s="246" t="s">
        <v>26</v>
      </c>
      <c r="B11" s="16"/>
      <c r="C11" s="281">
        <v>0</v>
      </c>
      <c r="D11" s="102"/>
      <c r="E11" s="102">
        <v>0</v>
      </c>
      <c r="F11" s="103">
        <f t="shared" si="0"/>
        <v>0</v>
      </c>
      <c r="G11" s="42"/>
    </row>
    <row r="12" spans="1:7" ht="13.5" thickBot="1" x14ac:dyDescent="0.25">
      <c r="A12" s="104" t="s">
        <v>5</v>
      </c>
      <c r="B12" s="97" t="s">
        <v>89</v>
      </c>
      <c r="C12" s="98"/>
      <c r="D12" s="98"/>
      <c r="E12" s="99"/>
      <c r="F12" s="100">
        <f>SUM(F6:F11)</f>
        <v>7500</v>
      </c>
      <c r="G12" s="150">
        <f>F12</f>
        <v>7500</v>
      </c>
    </row>
    <row r="14" spans="1:7" x14ac:dyDescent="0.2">
      <c r="A14" s="93" t="s">
        <v>110</v>
      </c>
      <c r="B14" s="92"/>
      <c r="C14" s="1"/>
      <c r="D14" s="1"/>
    </row>
    <row r="15" spans="1:7" ht="13.5" thickBot="1" x14ac:dyDescent="0.25">
      <c r="A15" s="94" t="s">
        <v>104</v>
      </c>
      <c r="B15" s="61"/>
      <c r="C15" s="61" t="s">
        <v>105</v>
      </c>
      <c r="D15" s="61" t="s">
        <v>106</v>
      </c>
      <c r="E15" s="61" t="s">
        <v>107</v>
      </c>
      <c r="F15" s="61" t="s">
        <v>108</v>
      </c>
      <c r="G15" s="41" t="s">
        <v>159</v>
      </c>
    </row>
    <row r="16" spans="1:7" x14ac:dyDescent="0.2">
      <c r="A16" s="244" t="str">
        <f>A6</f>
        <v>Materials &amp; Supplies #1</v>
      </c>
      <c r="B16" s="62"/>
      <c r="C16" s="274">
        <f>IF(E16&gt;0,C6*(1+$F$2),0)</f>
        <v>105</v>
      </c>
      <c r="D16" s="101" t="s">
        <v>275</v>
      </c>
      <c r="E16" s="101">
        <v>10</v>
      </c>
      <c r="F16" s="63">
        <f>E16*C16</f>
        <v>1050</v>
      </c>
      <c r="G16" s="42"/>
    </row>
    <row r="17" spans="1:7" x14ac:dyDescent="0.2">
      <c r="A17" s="245" t="str">
        <f>A7</f>
        <v>Materials &amp; Supplies #2</v>
      </c>
      <c r="B17" s="16"/>
      <c r="C17" s="281">
        <f>IF(E17&gt;0,C7*(1+$F$2),0)</f>
        <v>210</v>
      </c>
      <c r="D17" s="102" t="s">
        <v>276</v>
      </c>
      <c r="E17" s="102">
        <v>20</v>
      </c>
      <c r="F17" s="43">
        <f t="shared" ref="F17:F21" si="1">E17*C17</f>
        <v>4200</v>
      </c>
      <c r="G17" s="42"/>
    </row>
    <row r="18" spans="1:7" x14ac:dyDescent="0.2">
      <c r="A18" s="245" t="str">
        <f t="shared" ref="A18:A21" si="2">A8</f>
        <v>Materials &amp; Supplies #3</v>
      </c>
      <c r="B18" s="16"/>
      <c r="C18" s="281">
        <f t="shared" ref="C18:C21" si="3">IF(E18&gt;0,C8*(1+$F$2),0)</f>
        <v>52.5</v>
      </c>
      <c r="D18" s="102" t="s">
        <v>277</v>
      </c>
      <c r="E18" s="102">
        <v>50</v>
      </c>
      <c r="F18" s="43">
        <f t="shared" si="1"/>
        <v>2625</v>
      </c>
      <c r="G18" s="42"/>
    </row>
    <row r="19" spans="1:7" x14ac:dyDescent="0.2">
      <c r="A19" s="245" t="str">
        <f t="shared" si="2"/>
        <v>Materials &amp; Supplies #4</v>
      </c>
      <c r="B19" s="16"/>
      <c r="C19" s="281">
        <f t="shared" si="3"/>
        <v>0</v>
      </c>
      <c r="D19" s="102"/>
      <c r="E19" s="102">
        <v>0</v>
      </c>
      <c r="F19" s="43">
        <f t="shared" si="1"/>
        <v>0</v>
      </c>
      <c r="G19" s="42"/>
    </row>
    <row r="20" spans="1:7" x14ac:dyDescent="0.2">
      <c r="A20" s="245" t="str">
        <f t="shared" si="2"/>
        <v>Materials &amp; Supplies #5</v>
      </c>
      <c r="B20" s="16"/>
      <c r="C20" s="281">
        <f t="shared" si="3"/>
        <v>0</v>
      </c>
      <c r="D20" s="102"/>
      <c r="E20" s="102">
        <v>0</v>
      </c>
      <c r="F20" s="43">
        <f t="shared" si="1"/>
        <v>0</v>
      </c>
      <c r="G20" s="42"/>
    </row>
    <row r="21" spans="1:7" x14ac:dyDescent="0.2">
      <c r="A21" s="245" t="str">
        <f t="shared" si="2"/>
        <v>Materials &amp; Supplies #6</v>
      </c>
      <c r="B21" s="16"/>
      <c r="C21" s="281">
        <f t="shared" si="3"/>
        <v>0</v>
      </c>
      <c r="D21" s="102"/>
      <c r="E21" s="102">
        <v>0</v>
      </c>
      <c r="F21" s="103">
        <f t="shared" si="1"/>
        <v>0</v>
      </c>
      <c r="G21" s="42"/>
    </row>
    <row r="22" spans="1:7" ht="13.5" thickBot="1" x14ac:dyDescent="0.25">
      <c r="A22" s="106" t="s">
        <v>5</v>
      </c>
      <c r="B22" s="97" t="s">
        <v>95</v>
      </c>
      <c r="C22" s="98"/>
      <c r="D22" s="98"/>
      <c r="E22" s="99"/>
      <c r="F22" s="100">
        <f>SUM(F16:F21)</f>
        <v>7875</v>
      </c>
      <c r="G22" s="150">
        <f>F22</f>
        <v>7875</v>
      </c>
    </row>
    <row r="24" spans="1:7" x14ac:dyDescent="0.2">
      <c r="A24" s="93" t="s">
        <v>111</v>
      </c>
      <c r="B24" s="92"/>
      <c r="C24" s="1"/>
      <c r="D24" s="1"/>
    </row>
    <row r="25" spans="1:7" ht="13.5" thickBot="1" x14ac:dyDescent="0.25">
      <c r="A25" s="94" t="s">
        <v>104</v>
      </c>
      <c r="B25" s="61"/>
      <c r="C25" s="61" t="s">
        <v>105</v>
      </c>
      <c r="D25" s="61" t="s">
        <v>106</v>
      </c>
      <c r="E25" s="61" t="s">
        <v>107</v>
      </c>
      <c r="F25" s="61" t="s">
        <v>108</v>
      </c>
      <c r="G25" s="41" t="s">
        <v>159</v>
      </c>
    </row>
    <row r="26" spans="1:7" x14ac:dyDescent="0.2">
      <c r="A26" s="244" t="str">
        <f>A16</f>
        <v>Materials &amp; Supplies #1</v>
      </c>
      <c r="B26" s="62"/>
      <c r="C26" s="274">
        <f>IF(E26&gt;0,C16*(1+$F$2),0)</f>
        <v>110.25</v>
      </c>
      <c r="D26" s="101" t="s">
        <v>275</v>
      </c>
      <c r="E26" s="101">
        <v>5</v>
      </c>
      <c r="F26" s="63">
        <f>E26*C26</f>
        <v>551.25</v>
      </c>
      <c r="G26" s="42"/>
    </row>
    <row r="27" spans="1:7" x14ac:dyDescent="0.2">
      <c r="A27" s="245" t="str">
        <f>A17</f>
        <v>Materials &amp; Supplies #2</v>
      </c>
      <c r="B27" s="16"/>
      <c r="C27" s="281">
        <f>IF(E27&gt;0,C17*(1+$F$2),0)</f>
        <v>220.5</v>
      </c>
      <c r="D27" s="102" t="s">
        <v>276</v>
      </c>
      <c r="E27" s="102">
        <v>10</v>
      </c>
      <c r="F27" s="43">
        <f t="shared" ref="F27:F31" si="4">E27*C27</f>
        <v>2205</v>
      </c>
      <c r="G27" s="42"/>
    </row>
    <row r="28" spans="1:7" x14ac:dyDescent="0.2">
      <c r="A28" s="245" t="str">
        <f t="shared" ref="A28:A31" si="5">A18</f>
        <v>Materials &amp; Supplies #3</v>
      </c>
      <c r="B28" s="16"/>
      <c r="C28" s="281">
        <f t="shared" ref="C28:C31" si="6">IF(E28&gt;0,C18*(1+$F$2),0)</f>
        <v>55.125</v>
      </c>
      <c r="D28" s="102" t="s">
        <v>277</v>
      </c>
      <c r="E28" s="102">
        <v>25</v>
      </c>
      <c r="F28" s="43">
        <f t="shared" si="4"/>
        <v>1378.125</v>
      </c>
      <c r="G28" s="42"/>
    </row>
    <row r="29" spans="1:7" x14ac:dyDescent="0.2">
      <c r="A29" s="245" t="str">
        <f t="shared" si="5"/>
        <v>Materials &amp; Supplies #4</v>
      </c>
      <c r="B29" s="16"/>
      <c r="C29" s="281">
        <f t="shared" si="6"/>
        <v>0</v>
      </c>
      <c r="D29" s="102"/>
      <c r="E29" s="102">
        <v>0</v>
      </c>
      <c r="F29" s="43">
        <f t="shared" si="4"/>
        <v>0</v>
      </c>
      <c r="G29" s="42"/>
    </row>
    <row r="30" spans="1:7" x14ac:dyDescent="0.2">
      <c r="A30" s="245" t="str">
        <f t="shared" si="5"/>
        <v>Materials &amp; Supplies #5</v>
      </c>
      <c r="B30" s="16"/>
      <c r="C30" s="281">
        <f t="shared" si="6"/>
        <v>0</v>
      </c>
      <c r="D30" s="102"/>
      <c r="E30" s="102">
        <v>0</v>
      </c>
      <c r="F30" s="43">
        <f t="shared" si="4"/>
        <v>0</v>
      </c>
      <c r="G30" s="42"/>
    </row>
    <row r="31" spans="1:7" x14ac:dyDescent="0.2">
      <c r="A31" s="245" t="str">
        <f t="shared" si="5"/>
        <v>Materials &amp; Supplies #6</v>
      </c>
      <c r="B31" s="16"/>
      <c r="C31" s="281">
        <f t="shared" si="6"/>
        <v>0</v>
      </c>
      <c r="D31" s="102"/>
      <c r="E31" s="102">
        <v>0</v>
      </c>
      <c r="F31" s="103">
        <f t="shared" si="4"/>
        <v>0</v>
      </c>
      <c r="G31" s="42"/>
    </row>
    <row r="32" spans="1:7" ht="13.5" thickBot="1" x14ac:dyDescent="0.25">
      <c r="A32" s="106" t="s">
        <v>5</v>
      </c>
      <c r="B32" s="97" t="s">
        <v>96</v>
      </c>
      <c r="C32" s="98"/>
      <c r="D32" s="98"/>
      <c r="E32" s="99"/>
      <c r="F32" s="100">
        <f>SUM(F26:F31)</f>
        <v>4134.375</v>
      </c>
      <c r="G32" s="150">
        <f>F32</f>
        <v>4134.375</v>
      </c>
    </row>
    <row r="34" spans="1:7" x14ac:dyDescent="0.2">
      <c r="A34" s="93" t="s">
        <v>112</v>
      </c>
      <c r="B34" s="92"/>
      <c r="C34" s="1"/>
      <c r="D34" s="1"/>
    </row>
    <row r="35" spans="1:7" ht="13.5" thickBot="1" x14ac:dyDescent="0.25">
      <c r="A35" s="94" t="s">
        <v>104</v>
      </c>
      <c r="B35" s="61"/>
      <c r="C35" s="61" t="s">
        <v>105</v>
      </c>
      <c r="D35" s="61" t="s">
        <v>106</v>
      </c>
      <c r="E35" s="61" t="s">
        <v>107</v>
      </c>
      <c r="F35" s="61" t="s">
        <v>108</v>
      </c>
      <c r="G35" s="41" t="s">
        <v>159</v>
      </c>
    </row>
    <row r="36" spans="1:7" x14ac:dyDescent="0.2">
      <c r="A36" s="244" t="str">
        <f>A26</f>
        <v>Materials &amp; Supplies #1</v>
      </c>
      <c r="B36" s="62"/>
      <c r="C36" s="274">
        <f>IF(E36&gt;0,C26*(1+$F$2),0)</f>
        <v>0</v>
      </c>
      <c r="D36" s="101"/>
      <c r="E36" s="101">
        <v>0</v>
      </c>
      <c r="F36" s="63">
        <f>E36*C36</f>
        <v>0</v>
      </c>
      <c r="G36" s="42"/>
    </row>
    <row r="37" spans="1:7" x14ac:dyDescent="0.2">
      <c r="A37" s="245" t="str">
        <f>A27</f>
        <v>Materials &amp; Supplies #2</v>
      </c>
      <c r="B37" s="16"/>
      <c r="C37" s="281">
        <f>IF(E37&gt;0,C27*(1+$F$2),0)</f>
        <v>0</v>
      </c>
      <c r="D37" s="102"/>
      <c r="E37" s="102">
        <v>0</v>
      </c>
      <c r="F37" s="43">
        <f t="shared" ref="F37:F41" si="7">E37*C37</f>
        <v>0</v>
      </c>
      <c r="G37" s="42"/>
    </row>
    <row r="38" spans="1:7" x14ac:dyDescent="0.2">
      <c r="A38" s="245" t="str">
        <f t="shared" ref="A38:A41" si="8">A28</f>
        <v>Materials &amp; Supplies #3</v>
      </c>
      <c r="B38" s="16"/>
      <c r="C38" s="281">
        <f t="shared" ref="C38:C41" si="9">IF(E38&gt;0,C28*(1+$F$2),0)</f>
        <v>0</v>
      </c>
      <c r="D38" s="102"/>
      <c r="E38" s="102">
        <v>0</v>
      </c>
      <c r="F38" s="43">
        <f t="shared" si="7"/>
        <v>0</v>
      </c>
      <c r="G38" s="42"/>
    </row>
    <row r="39" spans="1:7" x14ac:dyDescent="0.2">
      <c r="A39" s="245" t="str">
        <f t="shared" si="8"/>
        <v>Materials &amp; Supplies #4</v>
      </c>
      <c r="B39" s="16"/>
      <c r="C39" s="281">
        <f t="shared" si="9"/>
        <v>0</v>
      </c>
      <c r="D39" s="102"/>
      <c r="E39" s="102">
        <v>0</v>
      </c>
      <c r="F39" s="43">
        <f t="shared" si="7"/>
        <v>0</v>
      </c>
      <c r="G39" s="42"/>
    </row>
    <row r="40" spans="1:7" x14ac:dyDescent="0.2">
      <c r="A40" s="245" t="str">
        <f t="shared" si="8"/>
        <v>Materials &amp; Supplies #5</v>
      </c>
      <c r="B40" s="16"/>
      <c r="C40" s="281">
        <f t="shared" si="9"/>
        <v>0</v>
      </c>
      <c r="D40" s="102"/>
      <c r="E40" s="102">
        <v>0</v>
      </c>
      <c r="F40" s="43">
        <f t="shared" si="7"/>
        <v>0</v>
      </c>
      <c r="G40" s="42"/>
    </row>
    <row r="41" spans="1:7" x14ac:dyDescent="0.2">
      <c r="A41" s="245" t="str">
        <f t="shared" si="8"/>
        <v>Materials &amp; Supplies #6</v>
      </c>
      <c r="B41" s="16"/>
      <c r="C41" s="281">
        <f t="shared" si="9"/>
        <v>0</v>
      </c>
      <c r="D41" s="102"/>
      <c r="E41" s="102">
        <v>0</v>
      </c>
      <c r="F41" s="103">
        <f t="shared" si="7"/>
        <v>0</v>
      </c>
      <c r="G41" s="42"/>
    </row>
    <row r="42" spans="1:7" ht="13.5" thickBot="1" x14ac:dyDescent="0.25">
      <c r="A42" s="106" t="s">
        <v>5</v>
      </c>
      <c r="B42" s="97" t="s">
        <v>97</v>
      </c>
      <c r="C42" s="98"/>
      <c r="D42" s="98"/>
      <c r="E42" s="99"/>
      <c r="F42" s="100">
        <f>SUM(F36:F41)</f>
        <v>0</v>
      </c>
      <c r="G42" s="150">
        <f>F42</f>
        <v>0</v>
      </c>
    </row>
    <row r="44" spans="1:7" x14ac:dyDescent="0.2">
      <c r="A44" s="93" t="s">
        <v>113</v>
      </c>
      <c r="B44" s="92"/>
      <c r="C44" s="1"/>
      <c r="D44" s="1"/>
    </row>
    <row r="45" spans="1:7" ht="13.5" thickBot="1" x14ac:dyDescent="0.25">
      <c r="A45" s="94" t="s">
        <v>104</v>
      </c>
      <c r="B45" s="61"/>
      <c r="C45" s="61" t="s">
        <v>105</v>
      </c>
      <c r="D45" s="61" t="s">
        <v>106</v>
      </c>
      <c r="E45" s="61" t="s">
        <v>107</v>
      </c>
      <c r="F45" s="61" t="s">
        <v>108</v>
      </c>
      <c r="G45" s="41" t="s">
        <v>159</v>
      </c>
    </row>
    <row r="46" spans="1:7" x14ac:dyDescent="0.2">
      <c r="A46" s="244" t="str">
        <f>A36</f>
        <v>Materials &amp; Supplies #1</v>
      </c>
      <c r="B46" s="62"/>
      <c r="C46" s="95">
        <v>0</v>
      </c>
      <c r="D46" s="101"/>
      <c r="E46" s="101">
        <v>0</v>
      </c>
      <c r="F46" s="63">
        <f>E46*C46</f>
        <v>0</v>
      </c>
      <c r="G46" s="42"/>
    </row>
    <row r="47" spans="1:7" x14ac:dyDescent="0.2">
      <c r="A47" s="245" t="str">
        <f>A37</f>
        <v>Materials &amp; Supplies #2</v>
      </c>
      <c r="B47" s="16"/>
      <c r="C47" s="96">
        <v>0</v>
      </c>
      <c r="D47" s="102"/>
      <c r="E47" s="102">
        <v>0</v>
      </c>
      <c r="F47" s="43">
        <f t="shared" ref="F47:F51" si="10">E47*C47</f>
        <v>0</v>
      </c>
      <c r="G47" s="42"/>
    </row>
    <row r="48" spans="1:7" x14ac:dyDescent="0.2">
      <c r="A48" s="245" t="str">
        <f t="shared" ref="A48:A51" si="11">A38</f>
        <v>Materials &amp; Supplies #3</v>
      </c>
      <c r="B48" s="16"/>
      <c r="C48" s="96">
        <v>0</v>
      </c>
      <c r="D48" s="102"/>
      <c r="E48" s="102">
        <v>0</v>
      </c>
      <c r="F48" s="43">
        <f t="shared" si="10"/>
        <v>0</v>
      </c>
      <c r="G48" s="42"/>
    </row>
    <row r="49" spans="1:7" x14ac:dyDescent="0.2">
      <c r="A49" s="245" t="str">
        <f t="shared" si="11"/>
        <v>Materials &amp; Supplies #4</v>
      </c>
      <c r="B49" s="16"/>
      <c r="C49" s="96">
        <v>0</v>
      </c>
      <c r="D49" s="102"/>
      <c r="E49" s="102">
        <v>0</v>
      </c>
      <c r="F49" s="43">
        <f t="shared" si="10"/>
        <v>0</v>
      </c>
      <c r="G49" s="42"/>
    </row>
    <row r="50" spans="1:7" x14ac:dyDescent="0.2">
      <c r="A50" s="245" t="str">
        <f t="shared" si="11"/>
        <v>Materials &amp; Supplies #5</v>
      </c>
      <c r="B50" s="16"/>
      <c r="C50" s="96">
        <v>0</v>
      </c>
      <c r="D50" s="102"/>
      <c r="E50" s="102">
        <v>0</v>
      </c>
      <c r="F50" s="43">
        <f t="shared" si="10"/>
        <v>0</v>
      </c>
      <c r="G50" s="42"/>
    </row>
    <row r="51" spans="1:7" x14ac:dyDescent="0.2">
      <c r="A51" s="245" t="str">
        <f t="shared" si="11"/>
        <v>Materials &amp; Supplies #6</v>
      </c>
      <c r="B51" s="16"/>
      <c r="C51" s="96">
        <v>0</v>
      </c>
      <c r="D51" s="102"/>
      <c r="E51" s="102">
        <v>0</v>
      </c>
      <c r="F51" s="103">
        <f t="shared" si="10"/>
        <v>0</v>
      </c>
      <c r="G51" s="42"/>
    </row>
    <row r="52" spans="1:7" ht="13.5" thickBot="1" x14ac:dyDescent="0.25">
      <c r="A52" s="106" t="s">
        <v>5</v>
      </c>
      <c r="B52" s="97" t="s">
        <v>98</v>
      </c>
      <c r="C52" s="98"/>
      <c r="D52" s="98"/>
      <c r="E52" s="99"/>
      <c r="F52" s="100">
        <f>SUM(F46:F51)</f>
        <v>0</v>
      </c>
      <c r="G52" s="150">
        <f>F52</f>
        <v>0</v>
      </c>
    </row>
  </sheetData>
  <mergeCells count="1">
    <mergeCell ref="A2:B3"/>
  </mergeCells>
  <phoneticPr fontId="1" type="noConversion"/>
  <printOptions horizontalCentered="1"/>
  <pageMargins left="0.2" right="0.2" top="0.75" bottom="0.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G52"/>
  <sheetViews>
    <sheetView workbookViewId="0">
      <selection activeCell="C7" sqref="C7"/>
    </sheetView>
  </sheetViews>
  <sheetFormatPr defaultColWidth="8.75" defaultRowHeight="12.75" x14ac:dyDescent="0.2"/>
  <cols>
    <col min="1" max="1" width="22.375" style="4" customWidth="1"/>
    <col min="2" max="5" width="10.875" style="4" customWidth="1"/>
    <col min="6" max="6" width="10" style="4" customWidth="1"/>
    <col min="7" max="16384" width="8.75" style="4"/>
  </cols>
  <sheetData>
    <row r="1" spans="1:7" ht="15.75" x14ac:dyDescent="0.25">
      <c r="A1" s="64" t="s">
        <v>28</v>
      </c>
    </row>
    <row r="2" spans="1:7" x14ac:dyDescent="0.2">
      <c r="A2" s="407" t="s">
        <v>245</v>
      </c>
      <c r="B2" s="407"/>
      <c r="D2" s="53" t="s">
        <v>177</v>
      </c>
    </row>
    <row r="3" spans="1:7" x14ac:dyDescent="0.2">
      <c r="A3" s="407"/>
      <c r="B3" s="407"/>
    </row>
    <row r="4" spans="1:7" x14ac:dyDescent="0.2">
      <c r="A4" s="93" t="s">
        <v>175</v>
      </c>
      <c r="B4" s="92"/>
      <c r="C4" s="1"/>
      <c r="D4" s="1"/>
    </row>
    <row r="5" spans="1:7" ht="13.5" thickBot="1" x14ac:dyDescent="0.25">
      <c r="A5" s="94" t="s">
        <v>104</v>
      </c>
      <c r="B5" s="61"/>
      <c r="C5" s="61" t="s">
        <v>105</v>
      </c>
      <c r="D5" s="61" t="s">
        <v>106</v>
      </c>
      <c r="E5" s="61" t="s">
        <v>107</v>
      </c>
      <c r="F5" s="61" t="s">
        <v>108</v>
      </c>
      <c r="G5" s="41" t="s">
        <v>27</v>
      </c>
    </row>
    <row r="6" spans="1:7" x14ac:dyDescent="0.2">
      <c r="A6" s="244" t="s">
        <v>29</v>
      </c>
      <c r="B6" s="62"/>
      <c r="C6" s="95">
        <v>12000</v>
      </c>
      <c r="D6" s="101" t="s">
        <v>278</v>
      </c>
      <c r="E6" s="101">
        <v>1</v>
      </c>
      <c r="F6" s="63">
        <f>E6*C6</f>
        <v>12000</v>
      </c>
      <c r="G6" s="42"/>
    </row>
    <row r="7" spans="1:7" x14ac:dyDescent="0.2">
      <c r="A7" s="245" t="s">
        <v>30</v>
      </c>
      <c r="B7" s="16"/>
      <c r="C7" s="96">
        <v>0</v>
      </c>
      <c r="D7" s="102"/>
      <c r="E7" s="102">
        <v>0</v>
      </c>
      <c r="F7" s="43">
        <f t="shared" ref="F7:F11" si="0">E7*C7</f>
        <v>0</v>
      </c>
      <c r="G7" s="42"/>
    </row>
    <row r="8" spans="1:7" x14ac:dyDescent="0.2">
      <c r="A8" s="245" t="s">
        <v>190</v>
      </c>
      <c r="B8" s="16"/>
      <c r="C8" s="96">
        <v>0</v>
      </c>
      <c r="D8" s="102"/>
      <c r="E8" s="102">
        <v>0</v>
      </c>
      <c r="F8" s="43">
        <f t="shared" si="0"/>
        <v>0</v>
      </c>
      <c r="G8" s="42"/>
    </row>
    <row r="9" spans="1:7" x14ac:dyDescent="0.2">
      <c r="A9" s="245" t="s">
        <v>191</v>
      </c>
      <c r="B9" s="16"/>
      <c r="C9" s="96">
        <v>0</v>
      </c>
      <c r="D9" s="102"/>
      <c r="E9" s="102">
        <v>0</v>
      </c>
      <c r="F9" s="43">
        <f t="shared" si="0"/>
        <v>0</v>
      </c>
      <c r="G9" s="42"/>
    </row>
    <row r="10" spans="1:7" x14ac:dyDescent="0.2">
      <c r="A10" s="245" t="s">
        <v>59</v>
      </c>
      <c r="B10" s="16"/>
      <c r="C10" s="96">
        <v>0</v>
      </c>
      <c r="D10" s="102"/>
      <c r="E10" s="102">
        <v>0</v>
      </c>
      <c r="F10" s="43">
        <f t="shared" si="0"/>
        <v>0</v>
      </c>
      <c r="G10" s="42"/>
    </row>
    <row r="11" spans="1:7" x14ac:dyDescent="0.2">
      <c r="A11" s="245" t="s">
        <v>60</v>
      </c>
      <c r="B11" s="16"/>
      <c r="C11" s="96">
        <v>0</v>
      </c>
      <c r="D11" s="102"/>
      <c r="E11" s="102">
        <v>0</v>
      </c>
      <c r="F11" s="103">
        <f t="shared" si="0"/>
        <v>0</v>
      </c>
      <c r="G11" s="42"/>
    </row>
    <row r="12" spans="1:7" ht="13.5" thickBot="1" x14ac:dyDescent="0.25">
      <c r="A12" s="106" t="s">
        <v>5</v>
      </c>
      <c r="B12" s="97" t="s">
        <v>89</v>
      </c>
      <c r="C12" s="98"/>
      <c r="D12" s="98"/>
      <c r="E12" s="99"/>
      <c r="F12" s="100">
        <f>SUM(F6:F11)</f>
        <v>12000</v>
      </c>
      <c r="G12" s="150">
        <v>0</v>
      </c>
    </row>
    <row r="14" spans="1:7" x14ac:dyDescent="0.2">
      <c r="A14" s="93" t="s">
        <v>110</v>
      </c>
      <c r="B14" s="92"/>
      <c r="C14" s="1"/>
      <c r="D14" s="1"/>
    </row>
    <row r="15" spans="1:7" ht="13.5" thickBot="1" x14ac:dyDescent="0.25">
      <c r="A15" s="94" t="s">
        <v>104</v>
      </c>
      <c r="B15" s="61"/>
      <c r="C15" s="61" t="s">
        <v>105</v>
      </c>
      <c r="D15" s="61" t="s">
        <v>106</v>
      </c>
      <c r="E15" s="61" t="s">
        <v>107</v>
      </c>
      <c r="F15" s="61" t="s">
        <v>108</v>
      </c>
      <c r="G15" s="41" t="s">
        <v>159</v>
      </c>
    </row>
    <row r="16" spans="1:7" x14ac:dyDescent="0.2">
      <c r="A16" s="244" t="s">
        <v>29</v>
      </c>
      <c r="B16" s="62"/>
      <c r="C16" s="95">
        <v>0</v>
      </c>
      <c r="D16" s="101"/>
      <c r="E16" s="101">
        <v>0</v>
      </c>
      <c r="F16" s="63">
        <f>E16*C16</f>
        <v>0</v>
      </c>
      <c r="G16" s="42"/>
    </row>
    <row r="17" spans="1:7" x14ac:dyDescent="0.2">
      <c r="A17" s="245" t="s">
        <v>30</v>
      </c>
      <c r="B17" s="16"/>
      <c r="C17" s="96">
        <v>0</v>
      </c>
      <c r="D17" s="102"/>
      <c r="E17" s="102">
        <v>0</v>
      </c>
      <c r="F17" s="43">
        <f t="shared" ref="F17:F21" si="1">E17*C17</f>
        <v>0</v>
      </c>
      <c r="G17" s="42"/>
    </row>
    <row r="18" spans="1:7" x14ac:dyDescent="0.2">
      <c r="A18" s="245" t="s">
        <v>190</v>
      </c>
      <c r="B18" s="16"/>
      <c r="C18" s="96">
        <v>0</v>
      </c>
      <c r="D18" s="102"/>
      <c r="E18" s="102">
        <v>0</v>
      </c>
      <c r="F18" s="43">
        <f t="shared" si="1"/>
        <v>0</v>
      </c>
      <c r="G18" s="42"/>
    </row>
    <row r="19" spans="1:7" x14ac:dyDescent="0.2">
      <c r="A19" s="245" t="s">
        <v>191</v>
      </c>
      <c r="B19" s="16"/>
      <c r="C19" s="96">
        <v>0</v>
      </c>
      <c r="D19" s="102"/>
      <c r="E19" s="102">
        <v>0</v>
      </c>
      <c r="F19" s="43">
        <f t="shared" si="1"/>
        <v>0</v>
      </c>
      <c r="G19" s="42"/>
    </row>
    <row r="20" spans="1:7" x14ac:dyDescent="0.2">
      <c r="A20" s="245" t="s">
        <v>59</v>
      </c>
      <c r="B20" s="16"/>
      <c r="C20" s="96">
        <v>0</v>
      </c>
      <c r="D20" s="102"/>
      <c r="E20" s="102">
        <v>0</v>
      </c>
      <c r="F20" s="43">
        <f t="shared" si="1"/>
        <v>0</v>
      </c>
      <c r="G20" s="42"/>
    </row>
    <row r="21" spans="1:7" x14ac:dyDescent="0.2">
      <c r="A21" s="245" t="s">
        <v>60</v>
      </c>
      <c r="B21" s="16"/>
      <c r="C21" s="96">
        <v>0</v>
      </c>
      <c r="D21" s="102"/>
      <c r="E21" s="102">
        <v>0</v>
      </c>
      <c r="F21" s="103">
        <f t="shared" si="1"/>
        <v>0</v>
      </c>
      <c r="G21" s="42"/>
    </row>
    <row r="22" spans="1:7" ht="13.5" thickBot="1" x14ac:dyDescent="0.25">
      <c r="A22" s="106" t="s">
        <v>5</v>
      </c>
      <c r="B22" s="97" t="s">
        <v>95</v>
      </c>
      <c r="C22" s="98"/>
      <c r="D22" s="98"/>
      <c r="E22" s="99"/>
      <c r="F22" s="100">
        <f>SUM(F16:F21)</f>
        <v>0</v>
      </c>
      <c r="G22" s="150">
        <v>0</v>
      </c>
    </row>
    <row r="24" spans="1:7" x14ac:dyDescent="0.2">
      <c r="A24" s="93" t="s">
        <v>111</v>
      </c>
      <c r="B24" s="92"/>
      <c r="C24" s="1"/>
      <c r="D24" s="1"/>
    </row>
    <row r="25" spans="1:7" ht="13.5" thickBot="1" x14ac:dyDescent="0.25">
      <c r="A25" s="94" t="s">
        <v>104</v>
      </c>
      <c r="B25" s="61"/>
      <c r="C25" s="61" t="s">
        <v>105</v>
      </c>
      <c r="D25" s="61" t="s">
        <v>106</v>
      </c>
      <c r="E25" s="61" t="s">
        <v>107</v>
      </c>
      <c r="F25" s="61" t="s">
        <v>108</v>
      </c>
      <c r="G25" s="41" t="s">
        <v>159</v>
      </c>
    </row>
    <row r="26" spans="1:7" x14ac:dyDescent="0.2">
      <c r="A26" s="244" t="s">
        <v>29</v>
      </c>
      <c r="B26" s="62"/>
      <c r="C26" s="95">
        <v>0</v>
      </c>
      <c r="D26" s="101"/>
      <c r="E26" s="101">
        <v>0</v>
      </c>
      <c r="F26" s="63">
        <f>E26*C26</f>
        <v>0</v>
      </c>
      <c r="G26" s="42"/>
    </row>
    <row r="27" spans="1:7" x14ac:dyDescent="0.2">
      <c r="A27" s="245" t="s">
        <v>30</v>
      </c>
      <c r="B27" s="16"/>
      <c r="C27" s="96">
        <v>0</v>
      </c>
      <c r="D27" s="102"/>
      <c r="E27" s="102">
        <v>0</v>
      </c>
      <c r="F27" s="43">
        <f t="shared" ref="F27:F31" si="2">E27*C27</f>
        <v>0</v>
      </c>
      <c r="G27" s="42"/>
    </row>
    <row r="28" spans="1:7" x14ac:dyDescent="0.2">
      <c r="A28" s="245" t="s">
        <v>190</v>
      </c>
      <c r="B28" s="16"/>
      <c r="C28" s="96">
        <v>0</v>
      </c>
      <c r="D28" s="102"/>
      <c r="E28" s="102">
        <v>0</v>
      </c>
      <c r="F28" s="43">
        <f t="shared" si="2"/>
        <v>0</v>
      </c>
      <c r="G28" s="42"/>
    </row>
    <row r="29" spans="1:7" x14ac:dyDescent="0.2">
      <c r="A29" s="245" t="s">
        <v>191</v>
      </c>
      <c r="B29" s="16"/>
      <c r="C29" s="96">
        <v>0</v>
      </c>
      <c r="D29" s="102"/>
      <c r="E29" s="102">
        <v>0</v>
      </c>
      <c r="F29" s="43">
        <f t="shared" si="2"/>
        <v>0</v>
      </c>
      <c r="G29" s="42"/>
    </row>
    <row r="30" spans="1:7" x14ac:dyDescent="0.2">
      <c r="A30" s="245" t="s">
        <v>59</v>
      </c>
      <c r="B30" s="16"/>
      <c r="C30" s="96">
        <v>0</v>
      </c>
      <c r="D30" s="102"/>
      <c r="E30" s="102">
        <v>0</v>
      </c>
      <c r="F30" s="43">
        <f t="shared" si="2"/>
        <v>0</v>
      </c>
      <c r="G30" s="42"/>
    </row>
    <row r="31" spans="1:7" x14ac:dyDescent="0.2">
      <c r="A31" s="245" t="s">
        <v>60</v>
      </c>
      <c r="B31" s="16"/>
      <c r="C31" s="96">
        <v>0</v>
      </c>
      <c r="D31" s="102"/>
      <c r="E31" s="102">
        <v>0</v>
      </c>
      <c r="F31" s="103">
        <f t="shared" si="2"/>
        <v>0</v>
      </c>
      <c r="G31" s="42"/>
    </row>
    <row r="32" spans="1:7" ht="13.5" thickBot="1" x14ac:dyDescent="0.25">
      <c r="A32" s="106" t="s">
        <v>5</v>
      </c>
      <c r="B32" s="97" t="s">
        <v>96</v>
      </c>
      <c r="C32" s="98"/>
      <c r="D32" s="98"/>
      <c r="E32" s="99"/>
      <c r="F32" s="100">
        <f>SUM(F26:F31)</f>
        <v>0</v>
      </c>
      <c r="G32" s="150">
        <v>0</v>
      </c>
    </row>
    <row r="34" spans="1:7" x14ac:dyDescent="0.2">
      <c r="A34" s="93" t="s">
        <v>112</v>
      </c>
      <c r="B34" s="92"/>
      <c r="C34" s="1"/>
      <c r="D34" s="1"/>
    </row>
    <row r="35" spans="1:7" ht="13.5" thickBot="1" x14ac:dyDescent="0.25">
      <c r="A35" s="94" t="s">
        <v>104</v>
      </c>
      <c r="B35" s="61"/>
      <c r="C35" s="61" t="s">
        <v>105</v>
      </c>
      <c r="D35" s="61" t="s">
        <v>106</v>
      </c>
      <c r="E35" s="61" t="s">
        <v>107</v>
      </c>
      <c r="F35" s="61" t="s">
        <v>108</v>
      </c>
      <c r="G35" s="41" t="s">
        <v>159</v>
      </c>
    </row>
    <row r="36" spans="1:7" x14ac:dyDescent="0.2">
      <c r="A36" s="244" t="s">
        <v>29</v>
      </c>
      <c r="B36" s="62"/>
      <c r="C36" s="95">
        <v>0</v>
      </c>
      <c r="D36" s="101"/>
      <c r="E36" s="101">
        <v>0</v>
      </c>
      <c r="F36" s="63">
        <f>E36*C36</f>
        <v>0</v>
      </c>
      <c r="G36" s="42"/>
    </row>
    <row r="37" spans="1:7" x14ac:dyDescent="0.2">
      <c r="A37" s="245" t="s">
        <v>30</v>
      </c>
      <c r="B37" s="16"/>
      <c r="C37" s="96">
        <v>0</v>
      </c>
      <c r="D37" s="102"/>
      <c r="E37" s="102">
        <v>0</v>
      </c>
      <c r="F37" s="43">
        <f t="shared" ref="F37:F41" si="3">E37*C37</f>
        <v>0</v>
      </c>
      <c r="G37" s="42"/>
    </row>
    <row r="38" spans="1:7" x14ac:dyDescent="0.2">
      <c r="A38" s="245" t="s">
        <v>190</v>
      </c>
      <c r="B38" s="16"/>
      <c r="C38" s="96">
        <v>0</v>
      </c>
      <c r="D38" s="102"/>
      <c r="E38" s="102">
        <v>0</v>
      </c>
      <c r="F38" s="43">
        <f t="shared" si="3"/>
        <v>0</v>
      </c>
      <c r="G38" s="42"/>
    </row>
    <row r="39" spans="1:7" x14ac:dyDescent="0.2">
      <c r="A39" s="245" t="s">
        <v>191</v>
      </c>
      <c r="B39" s="16"/>
      <c r="C39" s="96">
        <v>0</v>
      </c>
      <c r="D39" s="102"/>
      <c r="E39" s="102">
        <v>0</v>
      </c>
      <c r="F39" s="43">
        <f t="shared" si="3"/>
        <v>0</v>
      </c>
      <c r="G39" s="42"/>
    </row>
    <row r="40" spans="1:7" x14ac:dyDescent="0.2">
      <c r="A40" s="245" t="s">
        <v>59</v>
      </c>
      <c r="B40" s="16"/>
      <c r="C40" s="96">
        <v>0</v>
      </c>
      <c r="D40" s="102"/>
      <c r="E40" s="102">
        <v>0</v>
      </c>
      <c r="F40" s="43">
        <f t="shared" si="3"/>
        <v>0</v>
      </c>
      <c r="G40" s="42"/>
    </row>
    <row r="41" spans="1:7" x14ac:dyDescent="0.2">
      <c r="A41" s="245" t="s">
        <v>60</v>
      </c>
      <c r="B41" s="16"/>
      <c r="C41" s="96">
        <v>0</v>
      </c>
      <c r="D41" s="102"/>
      <c r="E41" s="102">
        <v>0</v>
      </c>
      <c r="F41" s="103">
        <f t="shared" si="3"/>
        <v>0</v>
      </c>
      <c r="G41" s="42"/>
    </row>
    <row r="42" spans="1:7" ht="13.5" thickBot="1" x14ac:dyDescent="0.25">
      <c r="A42" s="106" t="s">
        <v>5</v>
      </c>
      <c r="B42" s="97" t="s">
        <v>97</v>
      </c>
      <c r="C42" s="98"/>
      <c r="D42" s="98"/>
      <c r="E42" s="99"/>
      <c r="F42" s="100">
        <f>SUM(F36:F41)</f>
        <v>0</v>
      </c>
      <c r="G42" s="150">
        <v>0</v>
      </c>
    </row>
    <row r="44" spans="1:7" hidden="1" x14ac:dyDescent="0.2">
      <c r="A44" s="93" t="s">
        <v>113</v>
      </c>
      <c r="B44" s="92"/>
      <c r="C44" s="1"/>
      <c r="D44" s="1"/>
    </row>
    <row r="45" spans="1:7" ht="13.5" hidden="1" thickBot="1" x14ac:dyDescent="0.25">
      <c r="A45" s="94" t="s">
        <v>104</v>
      </c>
      <c r="B45" s="61"/>
      <c r="C45" s="61" t="s">
        <v>105</v>
      </c>
      <c r="D45" s="61" t="s">
        <v>106</v>
      </c>
      <c r="E45" s="61" t="s">
        <v>107</v>
      </c>
      <c r="F45" s="61" t="s">
        <v>108</v>
      </c>
      <c r="G45" s="41" t="s">
        <v>159</v>
      </c>
    </row>
    <row r="46" spans="1:7" hidden="1" x14ac:dyDescent="0.2">
      <c r="A46" s="244" t="s">
        <v>29</v>
      </c>
      <c r="B46" s="62"/>
      <c r="C46" s="95">
        <v>0</v>
      </c>
      <c r="D46" s="101"/>
      <c r="E46" s="101">
        <v>0</v>
      </c>
      <c r="F46" s="63">
        <f>E46*C46</f>
        <v>0</v>
      </c>
      <c r="G46" s="42"/>
    </row>
    <row r="47" spans="1:7" hidden="1" x14ac:dyDescent="0.2">
      <c r="A47" s="245" t="s">
        <v>30</v>
      </c>
      <c r="B47" s="16"/>
      <c r="C47" s="96">
        <v>0</v>
      </c>
      <c r="D47" s="102"/>
      <c r="E47" s="102">
        <v>0</v>
      </c>
      <c r="F47" s="43">
        <f t="shared" ref="F47:F51" si="4">E47*C47</f>
        <v>0</v>
      </c>
      <c r="G47" s="42"/>
    </row>
    <row r="48" spans="1:7" hidden="1" x14ac:dyDescent="0.2">
      <c r="A48" s="245" t="s">
        <v>190</v>
      </c>
      <c r="B48" s="16"/>
      <c r="C48" s="96">
        <v>0</v>
      </c>
      <c r="D48" s="102"/>
      <c r="E48" s="102">
        <v>0</v>
      </c>
      <c r="F48" s="43">
        <f t="shared" si="4"/>
        <v>0</v>
      </c>
      <c r="G48" s="42"/>
    </row>
    <row r="49" spans="1:7" hidden="1" x14ac:dyDescent="0.2">
      <c r="A49" s="245" t="s">
        <v>191</v>
      </c>
      <c r="B49" s="16"/>
      <c r="C49" s="96">
        <v>0</v>
      </c>
      <c r="D49" s="102"/>
      <c r="E49" s="102">
        <v>0</v>
      </c>
      <c r="F49" s="43">
        <f t="shared" si="4"/>
        <v>0</v>
      </c>
      <c r="G49" s="42"/>
    </row>
    <row r="50" spans="1:7" hidden="1" x14ac:dyDescent="0.2">
      <c r="A50" s="245" t="s">
        <v>59</v>
      </c>
      <c r="B50" s="16"/>
      <c r="C50" s="96">
        <v>0</v>
      </c>
      <c r="D50" s="102"/>
      <c r="E50" s="102">
        <v>0</v>
      </c>
      <c r="F50" s="43">
        <f t="shared" si="4"/>
        <v>0</v>
      </c>
      <c r="G50" s="42"/>
    </row>
    <row r="51" spans="1:7" hidden="1" x14ac:dyDescent="0.2">
      <c r="A51" s="245" t="s">
        <v>60</v>
      </c>
      <c r="B51" s="16"/>
      <c r="C51" s="96">
        <v>0</v>
      </c>
      <c r="D51" s="102"/>
      <c r="E51" s="102">
        <v>0</v>
      </c>
      <c r="F51" s="103">
        <f t="shared" si="4"/>
        <v>0</v>
      </c>
      <c r="G51" s="150"/>
    </row>
    <row r="52" spans="1:7" ht="13.5" hidden="1" thickBot="1" x14ac:dyDescent="0.25">
      <c r="A52" s="106" t="s">
        <v>5</v>
      </c>
      <c r="B52" s="97" t="s">
        <v>98</v>
      </c>
      <c r="C52" s="98"/>
      <c r="D52" s="98"/>
      <c r="E52" s="99"/>
      <c r="F52" s="100">
        <f>SUM(F46:F51)</f>
        <v>0</v>
      </c>
      <c r="G52" s="150">
        <v>0</v>
      </c>
    </row>
  </sheetData>
  <mergeCells count="1">
    <mergeCell ref="A2:B3"/>
  </mergeCells>
  <phoneticPr fontId="1" type="noConversion"/>
  <pageMargins left="0.2" right="0.2"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52"/>
  <sheetViews>
    <sheetView workbookViewId="0">
      <selection activeCell="E30" sqref="E30"/>
    </sheetView>
  </sheetViews>
  <sheetFormatPr defaultColWidth="8.75" defaultRowHeight="12.75" x14ac:dyDescent="0.2"/>
  <cols>
    <col min="1" max="1" width="22.375" style="4" customWidth="1"/>
    <col min="2" max="5" width="10.875" style="4" customWidth="1"/>
    <col min="6" max="6" width="10" style="4" customWidth="1"/>
    <col min="7" max="16384" width="8.75" style="4"/>
  </cols>
  <sheetData>
    <row r="1" spans="1:7" ht="15.75" x14ac:dyDescent="0.25">
      <c r="A1" s="64" t="s">
        <v>70</v>
      </c>
    </row>
    <row r="2" spans="1:7" x14ac:dyDescent="0.2">
      <c r="A2" s="407" t="s">
        <v>245</v>
      </c>
      <c r="B2" s="407"/>
      <c r="D2" s="53" t="s">
        <v>177</v>
      </c>
    </row>
    <row r="3" spans="1:7" x14ac:dyDescent="0.2">
      <c r="A3" s="407"/>
      <c r="B3" s="407"/>
    </row>
    <row r="4" spans="1:7" x14ac:dyDescent="0.2">
      <c r="A4" s="93" t="s">
        <v>175</v>
      </c>
      <c r="B4" s="92"/>
      <c r="C4" s="1"/>
      <c r="D4" s="1"/>
    </row>
    <row r="5" spans="1:7" ht="13.5" thickBot="1" x14ac:dyDescent="0.25">
      <c r="A5" s="94" t="s">
        <v>104</v>
      </c>
      <c r="B5" s="61"/>
      <c r="C5" s="61" t="s">
        <v>105</v>
      </c>
      <c r="D5" s="61" t="s">
        <v>106</v>
      </c>
      <c r="E5" s="61" t="s">
        <v>107</v>
      </c>
      <c r="F5" s="61" t="s">
        <v>108</v>
      </c>
      <c r="G5" s="41" t="s">
        <v>27</v>
      </c>
    </row>
    <row r="6" spans="1:7" x14ac:dyDescent="0.2">
      <c r="A6" s="244" t="s">
        <v>61</v>
      </c>
      <c r="B6" s="62"/>
      <c r="C6" s="95">
        <v>800</v>
      </c>
      <c r="D6" s="101" t="s">
        <v>67</v>
      </c>
      <c r="E6" s="101">
        <v>12</v>
      </c>
      <c r="F6" s="63">
        <f>E6*C6</f>
        <v>9600</v>
      </c>
      <c r="G6" s="42"/>
    </row>
    <row r="7" spans="1:7" x14ac:dyDescent="0.2">
      <c r="A7" s="245" t="s">
        <v>62</v>
      </c>
      <c r="B7" s="16"/>
      <c r="C7" s="96">
        <v>125</v>
      </c>
      <c r="D7" s="102" t="s">
        <v>210</v>
      </c>
      <c r="E7" s="102">
        <v>50</v>
      </c>
      <c r="F7" s="43">
        <f t="shared" ref="F7:F11" si="0">E7*C7</f>
        <v>6250</v>
      </c>
      <c r="G7" s="42"/>
    </row>
    <row r="8" spans="1:7" x14ac:dyDescent="0.2">
      <c r="A8" s="245" t="s">
        <v>63</v>
      </c>
      <c r="B8" s="16"/>
      <c r="C8" s="96">
        <v>2500</v>
      </c>
      <c r="D8" s="102" t="s">
        <v>279</v>
      </c>
      <c r="E8" s="102">
        <v>10</v>
      </c>
      <c r="F8" s="43">
        <f t="shared" si="0"/>
        <v>25000</v>
      </c>
      <c r="G8" s="42"/>
    </row>
    <row r="9" spans="1:7" x14ac:dyDescent="0.2">
      <c r="A9" s="245" t="s">
        <v>64</v>
      </c>
      <c r="B9" s="16"/>
      <c r="C9" s="96">
        <v>150</v>
      </c>
      <c r="D9" s="102" t="s">
        <v>210</v>
      </c>
      <c r="E9" s="102">
        <v>80</v>
      </c>
      <c r="F9" s="43">
        <f t="shared" si="0"/>
        <v>12000</v>
      </c>
      <c r="G9" s="42"/>
    </row>
    <row r="10" spans="1:7" x14ac:dyDescent="0.2">
      <c r="A10" s="245" t="s">
        <v>65</v>
      </c>
      <c r="B10" s="16"/>
      <c r="C10" s="96">
        <v>0</v>
      </c>
      <c r="D10" s="102"/>
      <c r="E10" s="102">
        <v>0</v>
      </c>
      <c r="F10" s="43">
        <f t="shared" si="0"/>
        <v>0</v>
      </c>
      <c r="G10" s="42"/>
    </row>
    <row r="11" spans="1:7" x14ac:dyDescent="0.2">
      <c r="A11" s="245" t="s">
        <v>66</v>
      </c>
      <c r="B11" s="16"/>
      <c r="C11" s="96">
        <v>0</v>
      </c>
      <c r="D11" s="102"/>
      <c r="E11" s="102">
        <v>0</v>
      </c>
      <c r="F11" s="103">
        <f t="shared" si="0"/>
        <v>0</v>
      </c>
      <c r="G11" s="42"/>
    </row>
    <row r="12" spans="1:7" ht="13.5" thickBot="1" x14ac:dyDescent="0.25">
      <c r="A12" s="106" t="s">
        <v>5</v>
      </c>
      <c r="B12" s="97" t="s">
        <v>89</v>
      </c>
      <c r="C12" s="98"/>
      <c r="D12" s="98"/>
      <c r="E12" s="99"/>
      <c r="F12" s="100">
        <f>SUM(F6:F11)</f>
        <v>52850</v>
      </c>
      <c r="G12" s="150">
        <f>F12</f>
        <v>52850</v>
      </c>
    </row>
    <row r="14" spans="1:7" x14ac:dyDescent="0.2">
      <c r="A14" s="93" t="s">
        <v>110</v>
      </c>
      <c r="B14" s="92"/>
      <c r="C14" s="1"/>
      <c r="D14" s="1"/>
    </row>
    <row r="15" spans="1:7" ht="13.5" thickBot="1" x14ac:dyDescent="0.25">
      <c r="A15" s="94" t="s">
        <v>104</v>
      </c>
      <c r="B15" s="61"/>
      <c r="C15" s="61" t="s">
        <v>105</v>
      </c>
      <c r="D15" s="61" t="s">
        <v>106</v>
      </c>
      <c r="E15" s="61" t="s">
        <v>107</v>
      </c>
      <c r="F15" s="61" t="s">
        <v>108</v>
      </c>
      <c r="G15" s="41" t="s">
        <v>159</v>
      </c>
    </row>
    <row r="16" spans="1:7" x14ac:dyDescent="0.2">
      <c r="A16" s="244" t="s">
        <v>61</v>
      </c>
      <c r="B16" s="62"/>
      <c r="C16" s="95">
        <v>800</v>
      </c>
      <c r="D16" s="101" t="s">
        <v>67</v>
      </c>
      <c r="E16" s="101">
        <v>12</v>
      </c>
      <c r="F16" s="63">
        <f>E16*C16</f>
        <v>9600</v>
      </c>
      <c r="G16" s="42"/>
    </row>
    <row r="17" spans="1:7" x14ac:dyDescent="0.2">
      <c r="A17" s="245" t="s">
        <v>62</v>
      </c>
      <c r="B17" s="16"/>
      <c r="C17" s="96">
        <v>125</v>
      </c>
      <c r="D17" s="102" t="s">
        <v>210</v>
      </c>
      <c r="E17" s="102">
        <v>50</v>
      </c>
      <c r="F17" s="43">
        <f t="shared" ref="F17:F21" si="1">E17*C17</f>
        <v>6250</v>
      </c>
      <c r="G17" s="42"/>
    </row>
    <row r="18" spans="1:7" x14ac:dyDescent="0.2">
      <c r="A18" s="245" t="s">
        <v>63</v>
      </c>
      <c r="B18" s="16"/>
      <c r="C18" s="96">
        <v>2500</v>
      </c>
      <c r="D18" s="102" t="s">
        <v>279</v>
      </c>
      <c r="E18" s="102">
        <v>10</v>
      </c>
      <c r="F18" s="43">
        <f t="shared" si="1"/>
        <v>25000</v>
      </c>
      <c r="G18" s="42"/>
    </row>
    <row r="19" spans="1:7" x14ac:dyDescent="0.2">
      <c r="A19" s="245" t="s">
        <v>64</v>
      </c>
      <c r="B19" s="16"/>
      <c r="C19" s="96">
        <v>150</v>
      </c>
      <c r="D19" s="102" t="s">
        <v>210</v>
      </c>
      <c r="E19" s="102">
        <v>80</v>
      </c>
      <c r="F19" s="43">
        <f t="shared" si="1"/>
        <v>12000</v>
      </c>
      <c r="G19" s="42"/>
    </row>
    <row r="20" spans="1:7" x14ac:dyDescent="0.2">
      <c r="A20" s="245" t="s">
        <v>65</v>
      </c>
      <c r="B20" s="16"/>
      <c r="C20" s="96">
        <v>0</v>
      </c>
      <c r="D20" s="102"/>
      <c r="E20" s="102">
        <v>0</v>
      </c>
      <c r="F20" s="43">
        <f t="shared" si="1"/>
        <v>0</v>
      </c>
      <c r="G20" s="42"/>
    </row>
    <row r="21" spans="1:7" x14ac:dyDescent="0.2">
      <c r="A21" s="245" t="s">
        <v>66</v>
      </c>
      <c r="B21" s="16"/>
      <c r="C21" s="96">
        <v>0</v>
      </c>
      <c r="D21" s="102"/>
      <c r="E21" s="102">
        <v>0</v>
      </c>
      <c r="F21" s="103">
        <f t="shared" si="1"/>
        <v>0</v>
      </c>
      <c r="G21" s="42"/>
    </row>
    <row r="22" spans="1:7" ht="13.5" thickBot="1" x14ac:dyDescent="0.25">
      <c r="A22" s="106" t="s">
        <v>5</v>
      </c>
      <c r="B22" s="97" t="s">
        <v>95</v>
      </c>
      <c r="C22" s="98"/>
      <c r="D22" s="98"/>
      <c r="E22" s="99"/>
      <c r="F22" s="100">
        <f>SUM(F16:F21)</f>
        <v>52850</v>
      </c>
      <c r="G22" s="150">
        <f>F22</f>
        <v>52850</v>
      </c>
    </row>
    <row r="24" spans="1:7" x14ac:dyDescent="0.2">
      <c r="A24" s="93" t="s">
        <v>111</v>
      </c>
      <c r="B24" s="92"/>
      <c r="C24" s="1"/>
      <c r="D24" s="1"/>
    </row>
    <row r="25" spans="1:7" ht="13.5" thickBot="1" x14ac:dyDescent="0.25">
      <c r="A25" s="94" t="s">
        <v>104</v>
      </c>
      <c r="B25" s="61"/>
      <c r="C25" s="61" t="s">
        <v>105</v>
      </c>
      <c r="D25" s="61" t="s">
        <v>106</v>
      </c>
      <c r="E25" s="61" t="s">
        <v>107</v>
      </c>
      <c r="F25" s="61" t="s">
        <v>108</v>
      </c>
      <c r="G25" s="41" t="s">
        <v>159</v>
      </c>
    </row>
    <row r="26" spans="1:7" x14ac:dyDescent="0.2">
      <c r="A26" s="244" t="s">
        <v>61</v>
      </c>
      <c r="B26" s="62"/>
      <c r="C26" s="95">
        <v>800</v>
      </c>
      <c r="D26" s="101" t="s">
        <v>67</v>
      </c>
      <c r="E26" s="101">
        <v>6</v>
      </c>
      <c r="F26" s="63">
        <f>E26*C26</f>
        <v>4800</v>
      </c>
      <c r="G26" s="42"/>
    </row>
    <row r="27" spans="1:7" x14ac:dyDescent="0.2">
      <c r="A27" s="245" t="s">
        <v>62</v>
      </c>
      <c r="B27" s="16"/>
      <c r="C27" s="96">
        <v>125</v>
      </c>
      <c r="D27" s="102" t="s">
        <v>210</v>
      </c>
      <c r="E27" s="102">
        <v>30</v>
      </c>
      <c r="F27" s="43">
        <f t="shared" ref="F27:F31" si="2">E27*C27</f>
        <v>3750</v>
      </c>
      <c r="G27" s="42"/>
    </row>
    <row r="28" spans="1:7" x14ac:dyDescent="0.2">
      <c r="A28" s="245" t="s">
        <v>63</v>
      </c>
      <c r="B28" s="16"/>
      <c r="C28" s="96">
        <v>2500</v>
      </c>
      <c r="D28" s="102" t="s">
        <v>279</v>
      </c>
      <c r="E28" s="102">
        <v>8</v>
      </c>
      <c r="F28" s="43">
        <f t="shared" si="2"/>
        <v>20000</v>
      </c>
      <c r="G28" s="42"/>
    </row>
    <row r="29" spans="1:7" x14ac:dyDescent="0.2">
      <c r="A29" s="245" t="s">
        <v>64</v>
      </c>
      <c r="B29" s="16"/>
      <c r="C29" s="96">
        <v>150</v>
      </c>
      <c r="D29" s="102" t="s">
        <v>210</v>
      </c>
      <c r="E29" s="102">
        <v>50</v>
      </c>
      <c r="F29" s="43">
        <f t="shared" si="2"/>
        <v>7500</v>
      </c>
      <c r="G29" s="42"/>
    </row>
    <row r="30" spans="1:7" x14ac:dyDescent="0.2">
      <c r="A30" s="245" t="s">
        <v>65</v>
      </c>
      <c r="B30" s="16"/>
      <c r="C30" s="96">
        <v>0</v>
      </c>
      <c r="D30" s="102"/>
      <c r="E30" s="102">
        <v>0</v>
      </c>
      <c r="F30" s="43">
        <f t="shared" si="2"/>
        <v>0</v>
      </c>
      <c r="G30" s="42"/>
    </row>
    <row r="31" spans="1:7" x14ac:dyDescent="0.2">
      <c r="A31" s="245" t="s">
        <v>66</v>
      </c>
      <c r="B31" s="16"/>
      <c r="C31" s="96">
        <v>0</v>
      </c>
      <c r="D31" s="102"/>
      <c r="E31" s="102">
        <v>0</v>
      </c>
      <c r="F31" s="103">
        <f t="shared" si="2"/>
        <v>0</v>
      </c>
      <c r="G31" s="42"/>
    </row>
    <row r="32" spans="1:7" ht="13.5" thickBot="1" x14ac:dyDescent="0.25">
      <c r="A32" s="106" t="s">
        <v>5</v>
      </c>
      <c r="B32" s="97" t="s">
        <v>96</v>
      </c>
      <c r="C32" s="98"/>
      <c r="D32" s="98"/>
      <c r="E32" s="99"/>
      <c r="F32" s="100">
        <f>SUM(F26:F31)</f>
        <v>36050</v>
      </c>
      <c r="G32" s="150">
        <f>F32</f>
        <v>36050</v>
      </c>
    </row>
    <row r="34" spans="1:7" x14ac:dyDescent="0.2">
      <c r="A34" s="93" t="s">
        <v>112</v>
      </c>
      <c r="B34" s="92"/>
      <c r="C34" s="1"/>
      <c r="D34" s="1"/>
    </row>
    <row r="35" spans="1:7" ht="13.5" thickBot="1" x14ac:dyDescent="0.25">
      <c r="A35" s="94" t="s">
        <v>104</v>
      </c>
      <c r="B35" s="61"/>
      <c r="C35" s="61" t="s">
        <v>105</v>
      </c>
      <c r="D35" s="61" t="s">
        <v>106</v>
      </c>
      <c r="E35" s="61" t="s">
        <v>107</v>
      </c>
      <c r="F35" s="61" t="s">
        <v>108</v>
      </c>
      <c r="G35" s="41" t="s">
        <v>159</v>
      </c>
    </row>
    <row r="36" spans="1:7" x14ac:dyDescent="0.2">
      <c r="A36" s="244" t="s">
        <v>61</v>
      </c>
      <c r="B36" s="62"/>
      <c r="C36" s="95">
        <v>0</v>
      </c>
      <c r="D36" s="101"/>
      <c r="E36" s="101">
        <v>0</v>
      </c>
      <c r="F36" s="63">
        <f>E36*C36</f>
        <v>0</v>
      </c>
      <c r="G36" s="42"/>
    </row>
    <row r="37" spans="1:7" x14ac:dyDescent="0.2">
      <c r="A37" s="245" t="s">
        <v>62</v>
      </c>
      <c r="B37" s="16"/>
      <c r="C37" s="96">
        <v>0</v>
      </c>
      <c r="D37" s="102"/>
      <c r="E37" s="102">
        <v>0</v>
      </c>
      <c r="F37" s="43">
        <f t="shared" ref="F37:F41" si="3">E37*C37</f>
        <v>0</v>
      </c>
      <c r="G37" s="42"/>
    </row>
    <row r="38" spans="1:7" x14ac:dyDescent="0.2">
      <c r="A38" s="245" t="s">
        <v>63</v>
      </c>
      <c r="B38" s="16"/>
      <c r="C38" s="96">
        <v>0</v>
      </c>
      <c r="D38" s="102"/>
      <c r="E38" s="102">
        <v>0</v>
      </c>
      <c r="F38" s="43">
        <f t="shared" si="3"/>
        <v>0</v>
      </c>
      <c r="G38" s="42"/>
    </row>
    <row r="39" spans="1:7" x14ac:dyDescent="0.2">
      <c r="A39" s="245" t="s">
        <v>64</v>
      </c>
      <c r="B39" s="16"/>
      <c r="C39" s="96">
        <v>0</v>
      </c>
      <c r="D39" s="102"/>
      <c r="E39" s="102">
        <v>0</v>
      </c>
      <c r="F39" s="43">
        <f t="shared" si="3"/>
        <v>0</v>
      </c>
      <c r="G39" s="42"/>
    </row>
    <row r="40" spans="1:7" x14ac:dyDescent="0.2">
      <c r="A40" s="245" t="s">
        <v>65</v>
      </c>
      <c r="B40" s="16"/>
      <c r="C40" s="96">
        <v>0</v>
      </c>
      <c r="D40" s="102"/>
      <c r="E40" s="102">
        <v>0</v>
      </c>
      <c r="F40" s="43">
        <f t="shared" si="3"/>
        <v>0</v>
      </c>
      <c r="G40" s="42"/>
    </row>
    <row r="41" spans="1:7" x14ac:dyDescent="0.2">
      <c r="A41" s="245" t="s">
        <v>66</v>
      </c>
      <c r="B41" s="16"/>
      <c r="C41" s="96">
        <v>0</v>
      </c>
      <c r="D41" s="102"/>
      <c r="E41" s="102">
        <v>0</v>
      </c>
      <c r="F41" s="103">
        <f t="shared" si="3"/>
        <v>0</v>
      </c>
      <c r="G41" s="42"/>
    </row>
    <row r="42" spans="1:7" ht="13.5" thickBot="1" x14ac:dyDescent="0.25">
      <c r="A42" s="106" t="s">
        <v>5</v>
      </c>
      <c r="B42" s="97" t="s">
        <v>97</v>
      </c>
      <c r="C42" s="98"/>
      <c r="D42" s="98"/>
      <c r="E42" s="99"/>
      <c r="F42" s="100">
        <f>SUM(F36:F41)</f>
        <v>0</v>
      </c>
      <c r="G42" s="150">
        <f>F42</f>
        <v>0</v>
      </c>
    </row>
    <row r="44" spans="1:7" hidden="1" x14ac:dyDescent="0.2">
      <c r="A44" s="93" t="s">
        <v>113</v>
      </c>
      <c r="B44" s="92"/>
      <c r="C44" s="1"/>
      <c r="D44" s="1"/>
    </row>
    <row r="45" spans="1:7" ht="13.5" hidden="1" thickBot="1" x14ac:dyDescent="0.25">
      <c r="A45" s="94" t="s">
        <v>104</v>
      </c>
      <c r="B45" s="61"/>
      <c r="C45" s="61" t="s">
        <v>105</v>
      </c>
      <c r="D45" s="61" t="s">
        <v>106</v>
      </c>
      <c r="E45" s="61" t="s">
        <v>107</v>
      </c>
      <c r="F45" s="61" t="s">
        <v>108</v>
      </c>
      <c r="G45" s="41" t="s">
        <v>159</v>
      </c>
    </row>
    <row r="46" spans="1:7" hidden="1" x14ac:dyDescent="0.2">
      <c r="A46" s="244" t="s">
        <v>61</v>
      </c>
      <c r="B46" s="62"/>
      <c r="C46" s="95">
        <v>0</v>
      </c>
      <c r="D46" s="101"/>
      <c r="E46" s="101">
        <v>0</v>
      </c>
      <c r="F46" s="63">
        <f>E46*C46</f>
        <v>0</v>
      </c>
      <c r="G46" s="42"/>
    </row>
    <row r="47" spans="1:7" hidden="1" x14ac:dyDescent="0.2">
      <c r="A47" s="245" t="s">
        <v>62</v>
      </c>
      <c r="B47" s="16"/>
      <c r="C47" s="96">
        <v>0</v>
      </c>
      <c r="D47" s="102"/>
      <c r="E47" s="102">
        <v>0</v>
      </c>
      <c r="F47" s="43">
        <f t="shared" ref="F47:F51" si="4">E47*C47</f>
        <v>0</v>
      </c>
      <c r="G47" s="42"/>
    </row>
    <row r="48" spans="1:7" hidden="1" x14ac:dyDescent="0.2">
      <c r="A48" s="245" t="s">
        <v>63</v>
      </c>
      <c r="B48" s="16"/>
      <c r="C48" s="96">
        <v>0</v>
      </c>
      <c r="D48" s="102"/>
      <c r="E48" s="102">
        <v>0</v>
      </c>
      <c r="F48" s="43">
        <f t="shared" si="4"/>
        <v>0</v>
      </c>
      <c r="G48" s="42"/>
    </row>
    <row r="49" spans="1:7" hidden="1" x14ac:dyDescent="0.2">
      <c r="A49" s="245" t="s">
        <v>64</v>
      </c>
      <c r="B49" s="16"/>
      <c r="C49" s="96">
        <v>0</v>
      </c>
      <c r="D49" s="102"/>
      <c r="E49" s="102">
        <v>0</v>
      </c>
      <c r="F49" s="43">
        <f t="shared" si="4"/>
        <v>0</v>
      </c>
      <c r="G49" s="42"/>
    </row>
    <row r="50" spans="1:7" hidden="1" x14ac:dyDescent="0.2">
      <c r="A50" s="245" t="s">
        <v>65</v>
      </c>
      <c r="B50" s="16"/>
      <c r="C50" s="96">
        <v>0</v>
      </c>
      <c r="D50" s="102"/>
      <c r="E50" s="102">
        <v>0</v>
      </c>
      <c r="F50" s="43">
        <f t="shared" si="4"/>
        <v>0</v>
      </c>
      <c r="G50" s="42"/>
    </row>
    <row r="51" spans="1:7" hidden="1" x14ac:dyDescent="0.2">
      <c r="A51" s="245" t="s">
        <v>66</v>
      </c>
      <c r="B51" s="16"/>
      <c r="C51" s="96">
        <v>0</v>
      </c>
      <c r="D51" s="102"/>
      <c r="E51" s="102">
        <v>0</v>
      </c>
      <c r="F51" s="103">
        <f t="shared" si="4"/>
        <v>0</v>
      </c>
      <c r="G51" s="42"/>
    </row>
    <row r="52" spans="1:7" ht="13.5" hidden="1" thickBot="1" x14ac:dyDescent="0.25">
      <c r="A52" s="106" t="s">
        <v>5</v>
      </c>
      <c r="B52" s="97" t="s">
        <v>98</v>
      </c>
      <c r="C52" s="98"/>
      <c r="D52" s="98"/>
      <c r="E52" s="99"/>
      <c r="F52" s="100">
        <f>SUM(F46:F51)</f>
        <v>0</v>
      </c>
      <c r="G52" s="150">
        <f>F52</f>
        <v>0</v>
      </c>
    </row>
  </sheetData>
  <mergeCells count="1">
    <mergeCell ref="A2:B3"/>
  </mergeCells>
  <phoneticPr fontId="1" type="noConversion"/>
  <printOptions horizontalCentered="1"/>
  <pageMargins left="0.2" right="0.2"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32"/>
  <sheetViews>
    <sheetView workbookViewId="0">
      <selection activeCell="G8" sqref="G8"/>
    </sheetView>
  </sheetViews>
  <sheetFormatPr defaultColWidth="11" defaultRowHeight="12.75" x14ac:dyDescent="0.2"/>
  <cols>
    <col min="1" max="1" width="14.625" style="4" customWidth="1"/>
    <col min="2" max="2" width="10.875" style="4" customWidth="1"/>
    <col min="3" max="3" width="10.375" style="4" customWidth="1"/>
    <col min="4" max="4" width="12" style="4" customWidth="1"/>
    <col min="5" max="6" width="9.375" style="4" customWidth="1"/>
    <col min="7" max="7" width="10.75" style="4" customWidth="1"/>
    <col min="8" max="9" width="9.375" style="4" customWidth="1"/>
    <col min="10" max="10" width="7.875" style="4" hidden="1" customWidth="1"/>
    <col min="11" max="14" width="11" style="4"/>
    <col min="15" max="15" width="0" style="4" hidden="1" customWidth="1"/>
    <col min="16" max="16384" width="11" style="4"/>
  </cols>
  <sheetData>
    <row r="1" spans="1:16" ht="15.75" x14ac:dyDescent="0.25">
      <c r="A1" s="64" t="s">
        <v>126</v>
      </c>
    </row>
    <row r="2" spans="1:16" x14ac:dyDescent="0.2">
      <c r="A2" s="407" t="s">
        <v>246</v>
      </c>
      <c r="B2" s="407"/>
      <c r="C2" s="407"/>
    </row>
    <row r="3" spans="1:16" x14ac:dyDescent="0.2">
      <c r="A3" s="407"/>
      <c r="B3" s="407"/>
      <c r="C3" s="407"/>
      <c r="F3" s="411" t="s">
        <v>209</v>
      </c>
      <c r="G3" s="411"/>
      <c r="K3" s="77" t="s">
        <v>159</v>
      </c>
    </row>
    <row r="4" spans="1:16" x14ac:dyDescent="0.2">
      <c r="B4" s="77" t="s">
        <v>100</v>
      </c>
      <c r="C4" s="77" t="s">
        <v>101</v>
      </c>
      <c r="D4" s="77" t="s">
        <v>102</v>
      </c>
      <c r="E4" s="77" t="s">
        <v>103</v>
      </c>
      <c r="F4" s="411"/>
      <c r="G4" s="411"/>
      <c r="H4" s="14"/>
      <c r="I4" s="14"/>
      <c r="K4" s="78" t="s">
        <v>99</v>
      </c>
      <c r="L4" s="78"/>
      <c r="M4" s="78"/>
      <c r="N4" s="78"/>
      <c r="O4" s="78"/>
      <c r="P4" s="78" t="s">
        <v>127</v>
      </c>
    </row>
    <row r="5" spans="1:16" s="79" customFormat="1" x14ac:dyDescent="0.2">
      <c r="A5" s="79" t="s">
        <v>90</v>
      </c>
      <c r="B5" s="79" t="s">
        <v>91</v>
      </c>
      <c r="C5" s="79" t="s">
        <v>92</v>
      </c>
      <c r="D5" s="79" t="s">
        <v>93</v>
      </c>
      <c r="E5" s="79" t="s">
        <v>94</v>
      </c>
      <c r="F5" s="79" t="s">
        <v>89</v>
      </c>
      <c r="G5" s="79" t="s">
        <v>95</v>
      </c>
      <c r="H5" s="79" t="s">
        <v>96</v>
      </c>
      <c r="I5" s="79" t="s">
        <v>97</v>
      </c>
      <c r="J5" s="79" t="s">
        <v>98</v>
      </c>
      <c r="K5" s="80" t="s">
        <v>89</v>
      </c>
      <c r="L5" s="80" t="s">
        <v>95</v>
      </c>
      <c r="M5" s="80" t="s">
        <v>96</v>
      </c>
      <c r="N5" s="80" t="s">
        <v>97</v>
      </c>
      <c r="O5" s="80" t="s">
        <v>98</v>
      </c>
      <c r="P5" s="80" t="s">
        <v>99</v>
      </c>
    </row>
    <row r="6" spans="1:16" x14ac:dyDescent="0.2">
      <c r="A6" s="56" t="s">
        <v>215</v>
      </c>
      <c r="B6" s="56" t="s">
        <v>219</v>
      </c>
      <c r="C6" s="82">
        <f>SUM(F6:J6)</f>
        <v>55000</v>
      </c>
      <c r="D6" s="82">
        <f>IF(C6&gt;25000,25000,C6)</f>
        <v>25000</v>
      </c>
      <c r="E6" s="82">
        <f>C6-D6</f>
        <v>30000</v>
      </c>
      <c r="F6" s="81">
        <v>20000</v>
      </c>
      <c r="G6" s="81">
        <v>30000</v>
      </c>
      <c r="H6" s="81">
        <v>5000</v>
      </c>
      <c r="I6" s="81">
        <v>0</v>
      </c>
      <c r="J6" s="81">
        <v>0</v>
      </c>
      <c r="K6" s="78">
        <f>IF(F6&gt;25000,25000,F6)</f>
        <v>20000</v>
      </c>
      <c r="L6" s="78">
        <f>IF(G6=0,0,IF(SUM(F6:G6)&gt;25000,25000-K6,SUM(F6:G6)-K6))</f>
        <v>5000</v>
      </c>
      <c r="M6" s="78">
        <f>IF(H6=0,0,IF(SUM(F6:H6)&gt;25000,25000-SUM(K6:L6),(SUM(F6:H6)-SUM(K6:L6))))</f>
        <v>0</v>
      </c>
      <c r="N6" s="78">
        <f>IF(I6=0,0,IF(SUM(F6:I6)&gt;25000,25000-SUM(K6:M6),SUM(F6:I6)-SUM(K6:M6)))</f>
        <v>0</v>
      </c>
      <c r="O6" s="78">
        <v>0</v>
      </c>
      <c r="P6" s="78">
        <f>SUM(K6:O6)</f>
        <v>25000</v>
      </c>
    </row>
    <row r="7" spans="1:16" x14ac:dyDescent="0.2">
      <c r="A7" s="56" t="s">
        <v>216</v>
      </c>
      <c r="B7" s="56" t="s">
        <v>220</v>
      </c>
      <c r="C7" s="82">
        <f t="shared" ref="C7:C13" si="0">SUM(F7:J7)</f>
        <v>110000</v>
      </c>
      <c r="D7" s="82">
        <f t="shared" ref="D7:D13" si="1">IF(C7&gt;25000,25000,C7)</f>
        <v>25000</v>
      </c>
      <c r="E7" s="82">
        <f>C7-D7</f>
        <v>85000</v>
      </c>
      <c r="F7" s="81">
        <v>35000</v>
      </c>
      <c r="G7" s="81">
        <v>50000</v>
      </c>
      <c r="H7" s="81">
        <v>25000</v>
      </c>
      <c r="I7" s="81">
        <v>0</v>
      </c>
      <c r="J7" s="81">
        <v>0</v>
      </c>
      <c r="K7" s="78">
        <f t="shared" ref="K7:K13" si="2">IF(F7&gt;25000,25000,F7)</f>
        <v>25000</v>
      </c>
      <c r="L7" s="78">
        <f>IF(G7=0,0,IF(SUM(F7:G7)&gt;25000,25000-K7,SUM(F7:G7)-K7))</f>
        <v>0</v>
      </c>
      <c r="M7" s="78">
        <f t="shared" ref="M7:M13" si="3">IF(H7=0,0,IF(SUM(F7:H7)&gt;25000,25000-SUM(K7:L7),(SUM(F7:H7)-SUM(K7:L7))))</f>
        <v>0</v>
      </c>
      <c r="N7" s="78">
        <f t="shared" ref="N7:N13" si="4">IF(I7=0,0,IF(SUM(F7:I7)&gt;25000,25000-SUM(K7:M7),SUM(F7:I7)-SUM(K7:M7)))</f>
        <v>0</v>
      </c>
      <c r="O7" s="78">
        <v>0</v>
      </c>
      <c r="P7" s="78">
        <f t="shared" ref="P7:P13" si="5">SUM(K7:O7)</f>
        <v>25000</v>
      </c>
    </row>
    <row r="8" spans="1:16" x14ac:dyDescent="0.2">
      <c r="A8" s="56" t="s">
        <v>217</v>
      </c>
      <c r="B8" s="56" t="s">
        <v>221</v>
      </c>
      <c r="C8" s="82">
        <f t="shared" si="0"/>
        <v>30000</v>
      </c>
      <c r="D8" s="82">
        <f t="shared" si="1"/>
        <v>25000</v>
      </c>
      <c r="E8" s="82">
        <f t="shared" ref="E8" si="6">C8-D8</f>
        <v>5000</v>
      </c>
      <c r="F8" s="81">
        <v>5000</v>
      </c>
      <c r="G8" s="81">
        <v>10000</v>
      </c>
      <c r="H8" s="81">
        <v>15000</v>
      </c>
      <c r="I8" s="81">
        <v>0</v>
      </c>
      <c r="J8" s="81">
        <v>0</v>
      </c>
      <c r="K8" s="78">
        <f t="shared" si="2"/>
        <v>5000</v>
      </c>
      <c r="L8" s="78">
        <f>IF(G8=0,0,IF(SUM(F8:G8)&gt;25000,25000-K8,SUM(F8:G8)-K8))</f>
        <v>10000</v>
      </c>
      <c r="M8" s="78">
        <f t="shared" si="3"/>
        <v>10000</v>
      </c>
      <c r="N8" s="78">
        <f t="shared" si="4"/>
        <v>0</v>
      </c>
      <c r="O8" s="78">
        <v>0</v>
      </c>
      <c r="P8" s="78">
        <f t="shared" si="5"/>
        <v>25000</v>
      </c>
    </row>
    <row r="9" spans="1:16" x14ac:dyDescent="0.2">
      <c r="A9" s="56" t="s">
        <v>218</v>
      </c>
      <c r="B9" s="56" t="s">
        <v>222</v>
      </c>
      <c r="C9" s="82">
        <f t="shared" si="0"/>
        <v>40000</v>
      </c>
      <c r="D9" s="82">
        <f t="shared" si="1"/>
        <v>25000</v>
      </c>
      <c r="E9" s="82">
        <f t="shared" ref="E9:E13" si="7">C9-D9</f>
        <v>15000</v>
      </c>
      <c r="F9" s="81">
        <v>10000</v>
      </c>
      <c r="G9" s="81">
        <v>10000</v>
      </c>
      <c r="H9" s="81">
        <v>20000</v>
      </c>
      <c r="I9" s="81">
        <v>0</v>
      </c>
      <c r="J9" s="81">
        <v>0</v>
      </c>
      <c r="K9" s="78">
        <f t="shared" si="2"/>
        <v>10000</v>
      </c>
      <c r="L9" s="78">
        <f t="shared" ref="L9:L13" si="8">IF(G9=0,0,IF(SUM(F9:G9)&gt;25000,25000-K9,SUM(F9:G9)-K9))</f>
        <v>10000</v>
      </c>
      <c r="M9" s="78">
        <f t="shared" si="3"/>
        <v>5000</v>
      </c>
      <c r="N9" s="78">
        <f t="shared" si="4"/>
        <v>0</v>
      </c>
      <c r="O9" s="78">
        <v>0</v>
      </c>
      <c r="P9" s="78">
        <f t="shared" si="5"/>
        <v>25000</v>
      </c>
    </row>
    <row r="10" spans="1:16" x14ac:dyDescent="0.2">
      <c r="A10" s="56" t="s">
        <v>82</v>
      </c>
      <c r="B10" s="56" t="s">
        <v>223</v>
      </c>
      <c r="C10" s="82">
        <f t="shared" si="0"/>
        <v>20000</v>
      </c>
      <c r="D10" s="82">
        <f t="shared" si="1"/>
        <v>20000</v>
      </c>
      <c r="E10" s="82">
        <f t="shared" si="7"/>
        <v>0</v>
      </c>
      <c r="F10" s="81">
        <v>10000</v>
      </c>
      <c r="G10" s="81">
        <v>5000</v>
      </c>
      <c r="H10" s="81">
        <v>5000</v>
      </c>
      <c r="I10" s="81">
        <v>0</v>
      </c>
      <c r="J10" s="81">
        <v>0</v>
      </c>
      <c r="K10" s="78">
        <f t="shared" si="2"/>
        <v>10000</v>
      </c>
      <c r="L10" s="78">
        <f t="shared" si="8"/>
        <v>5000</v>
      </c>
      <c r="M10" s="78">
        <f t="shared" si="3"/>
        <v>5000</v>
      </c>
      <c r="N10" s="78">
        <f t="shared" si="4"/>
        <v>0</v>
      </c>
      <c r="O10" s="78">
        <v>0</v>
      </c>
      <c r="P10" s="78">
        <f t="shared" si="5"/>
        <v>20000</v>
      </c>
    </row>
    <row r="11" spans="1:16" x14ac:dyDescent="0.2">
      <c r="A11" s="56" t="s">
        <v>83</v>
      </c>
      <c r="B11" s="56" t="s">
        <v>224</v>
      </c>
      <c r="C11" s="82">
        <f t="shared" si="0"/>
        <v>0</v>
      </c>
      <c r="D11" s="82">
        <f t="shared" si="1"/>
        <v>0</v>
      </c>
      <c r="E11" s="82">
        <f t="shared" si="7"/>
        <v>0</v>
      </c>
      <c r="F11" s="81">
        <v>0</v>
      </c>
      <c r="G11" s="81">
        <v>0</v>
      </c>
      <c r="H11" s="81">
        <v>0</v>
      </c>
      <c r="I11" s="81">
        <v>0</v>
      </c>
      <c r="J11" s="81">
        <v>0</v>
      </c>
      <c r="K11" s="78">
        <f t="shared" si="2"/>
        <v>0</v>
      </c>
      <c r="L11" s="78">
        <f t="shared" si="8"/>
        <v>0</v>
      </c>
      <c r="M11" s="78">
        <f t="shared" si="3"/>
        <v>0</v>
      </c>
      <c r="N11" s="78">
        <f t="shared" si="4"/>
        <v>0</v>
      </c>
      <c r="O11" s="78">
        <v>0</v>
      </c>
      <c r="P11" s="78">
        <f t="shared" si="5"/>
        <v>0</v>
      </c>
    </row>
    <row r="12" spans="1:16" x14ac:dyDescent="0.2">
      <c r="A12" s="56" t="s">
        <v>84</v>
      </c>
      <c r="B12" s="56" t="s">
        <v>225</v>
      </c>
      <c r="C12" s="82">
        <f t="shared" si="0"/>
        <v>0</v>
      </c>
      <c r="D12" s="82">
        <f t="shared" si="1"/>
        <v>0</v>
      </c>
      <c r="E12" s="82">
        <f t="shared" si="7"/>
        <v>0</v>
      </c>
      <c r="F12" s="81">
        <v>0</v>
      </c>
      <c r="G12" s="81">
        <v>0</v>
      </c>
      <c r="H12" s="81">
        <v>0</v>
      </c>
      <c r="I12" s="81">
        <v>0</v>
      </c>
      <c r="J12" s="81">
        <v>0</v>
      </c>
      <c r="K12" s="78">
        <f t="shared" si="2"/>
        <v>0</v>
      </c>
      <c r="L12" s="78">
        <f t="shared" si="8"/>
        <v>0</v>
      </c>
      <c r="M12" s="78">
        <f t="shared" si="3"/>
        <v>0</v>
      </c>
      <c r="N12" s="78">
        <f t="shared" si="4"/>
        <v>0</v>
      </c>
      <c r="O12" s="78">
        <v>0</v>
      </c>
      <c r="P12" s="78">
        <f t="shared" si="5"/>
        <v>0</v>
      </c>
    </row>
    <row r="13" spans="1:16" x14ac:dyDescent="0.2">
      <c r="A13" s="56" t="s">
        <v>85</v>
      </c>
      <c r="B13" s="56" t="s">
        <v>226</v>
      </c>
      <c r="C13" s="84">
        <f t="shared" si="0"/>
        <v>0</v>
      </c>
      <c r="D13" s="84">
        <f t="shared" si="1"/>
        <v>0</v>
      </c>
      <c r="E13" s="84">
        <f t="shared" si="7"/>
        <v>0</v>
      </c>
      <c r="F13" s="83">
        <v>0</v>
      </c>
      <c r="G13" s="83">
        <v>0</v>
      </c>
      <c r="H13" s="83">
        <v>0</v>
      </c>
      <c r="I13" s="83">
        <v>0</v>
      </c>
      <c r="J13" s="83">
        <v>0</v>
      </c>
      <c r="K13" s="85">
        <f t="shared" si="2"/>
        <v>0</v>
      </c>
      <c r="L13" s="85">
        <f t="shared" si="8"/>
        <v>0</v>
      </c>
      <c r="M13" s="85">
        <f t="shared" si="3"/>
        <v>0</v>
      </c>
      <c r="N13" s="85">
        <f t="shared" si="4"/>
        <v>0</v>
      </c>
      <c r="O13" s="85">
        <v>0</v>
      </c>
      <c r="P13" s="85">
        <f t="shared" si="5"/>
        <v>0</v>
      </c>
    </row>
    <row r="14" spans="1:16" s="77" customFormat="1" x14ac:dyDescent="0.2">
      <c r="A14" s="86" t="s">
        <v>5</v>
      </c>
      <c r="C14" s="87">
        <f>SUM(C6:C13)</f>
        <v>255000</v>
      </c>
      <c r="D14" s="87">
        <f>SUM(D6:D13)</f>
        <v>120000</v>
      </c>
      <c r="E14" s="87">
        <f>SUM(E6:E13)</f>
        <v>135000</v>
      </c>
      <c r="F14" s="87">
        <f t="shared" ref="F14" si="9">SUM(F6:F13)</f>
        <v>80000</v>
      </c>
      <c r="G14" s="87">
        <f t="shared" ref="G14" si="10">SUM(G6:G13)</f>
        <v>105000</v>
      </c>
      <c r="H14" s="87">
        <f t="shared" ref="H14" si="11">SUM(H6:H13)</f>
        <v>70000</v>
      </c>
      <c r="I14" s="87">
        <f t="shared" ref="I14" si="12">SUM(I6:I13)</f>
        <v>0</v>
      </c>
      <c r="J14" s="87">
        <f t="shared" ref="J14" si="13">SUM(J6:J13)</f>
        <v>0</v>
      </c>
      <c r="K14" s="150">
        <f t="shared" ref="K14:P14" si="14">SUM(K6:K13)</f>
        <v>70000</v>
      </c>
      <c r="L14" s="150">
        <f t="shared" si="14"/>
        <v>30000</v>
      </c>
      <c r="M14" s="150">
        <f t="shared" si="14"/>
        <v>20000</v>
      </c>
      <c r="N14" s="150">
        <f t="shared" si="14"/>
        <v>0</v>
      </c>
      <c r="O14" s="150">
        <f t="shared" si="14"/>
        <v>0</v>
      </c>
      <c r="P14" s="150">
        <f t="shared" si="14"/>
        <v>120000</v>
      </c>
    </row>
    <row r="15" spans="1:16" x14ac:dyDescent="0.2">
      <c r="E15" s="298">
        <f>SUM(D14:E14)</f>
        <v>255000</v>
      </c>
      <c r="K15" s="298">
        <f>SUM(F14:J14)</f>
        <v>255000</v>
      </c>
      <c r="O15" s="89">
        <f>SUM(K14:O14)</f>
        <v>120000</v>
      </c>
      <c r="P15" s="90">
        <f>IF(P14-D14&lt;&gt;0,P14-D14,0)</f>
        <v>0</v>
      </c>
    </row>
    <row r="16" spans="1:16" x14ac:dyDescent="0.2">
      <c r="E16" s="88"/>
      <c r="K16" s="296">
        <f>IF(K15-E15&lt;&gt;0,K15-E15,0)</f>
        <v>0</v>
      </c>
      <c r="O16" s="89"/>
      <c r="P16" s="90"/>
    </row>
    <row r="17" spans="1:16" x14ac:dyDescent="0.2">
      <c r="C17" s="82"/>
      <c r="E17" s="174" t="s">
        <v>54</v>
      </c>
      <c r="F17" s="175">
        <f>F14-K14</f>
        <v>10000</v>
      </c>
      <c r="G17" s="175">
        <f>G14-L14</f>
        <v>75000</v>
      </c>
      <c r="H17" s="175">
        <f>H14-M14</f>
        <v>50000</v>
      </c>
      <c r="I17" s="175">
        <f>I14-N14</f>
        <v>0</v>
      </c>
      <c r="J17" s="175">
        <f>J14-O14</f>
        <v>0</v>
      </c>
      <c r="K17" s="299"/>
    </row>
    <row r="18" spans="1:16" x14ac:dyDescent="0.2">
      <c r="K18" s="298">
        <f>SUM(F17:J17)</f>
        <v>135000</v>
      </c>
    </row>
    <row r="21" spans="1:16" s="11" customFormat="1" x14ac:dyDescent="0.2"/>
    <row r="22" spans="1:16" x14ac:dyDescent="0.2">
      <c r="C22" s="82"/>
      <c r="D22" s="82"/>
      <c r="E22" s="82"/>
      <c r="F22" s="82"/>
      <c r="G22" s="82"/>
      <c r="H22" s="82"/>
      <c r="I22" s="82"/>
      <c r="J22" s="82"/>
    </row>
    <row r="23" spans="1:16" x14ac:dyDescent="0.2">
      <c r="C23" s="82"/>
      <c r="D23" s="82"/>
      <c r="E23" s="82"/>
      <c r="F23" s="82"/>
      <c r="G23" s="82"/>
      <c r="H23" s="82"/>
      <c r="I23" s="82"/>
      <c r="J23" s="82"/>
    </row>
    <row r="24" spans="1:16" x14ac:dyDescent="0.2">
      <c r="C24" s="82"/>
      <c r="D24" s="82"/>
      <c r="E24" s="82"/>
      <c r="F24" s="82"/>
      <c r="G24" s="82"/>
      <c r="H24" s="82"/>
      <c r="I24" s="82"/>
      <c r="J24" s="82"/>
    </row>
    <row r="25" spans="1:16" x14ac:dyDescent="0.2">
      <c r="C25" s="82"/>
      <c r="D25" s="82"/>
      <c r="E25" s="82"/>
      <c r="F25" s="82"/>
      <c r="G25" s="82"/>
      <c r="H25" s="82"/>
      <c r="I25" s="82"/>
      <c r="J25" s="82"/>
    </row>
    <row r="26" spans="1:16" x14ac:dyDescent="0.2">
      <c r="C26" s="82"/>
      <c r="D26" s="82"/>
      <c r="E26" s="82"/>
      <c r="F26" s="82"/>
      <c r="G26" s="82"/>
      <c r="H26" s="82"/>
      <c r="I26" s="82"/>
      <c r="J26" s="82"/>
    </row>
    <row r="27" spans="1:16" x14ac:dyDescent="0.2">
      <c r="C27" s="82"/>
      <c r="D27" s="82"/>
      <c r="E27" s="82"/>
      <c r="F27" s="82"/>
      <c r="G27" s="82"/>
      <c r="H27" s="82"/>
      <c r="I27" s="82"/>
      <c r="J27" s="82"/>
    </row>
    <row r="28" spans="1:16" x14ac:dyDescent="0.2">
      <c r="C28" s="82"/>
      <c r="D28" s="82"/>
      <c r="E28" s="82"/>
      <c r="F28" s="82"/>
      <c r="G28" s="82"/>
      <c r="H28" s="82"/>
      <c r="I28" s="82"/>
      <c r="J28" s="82"/>
    </row>
    <row r="29" spans="1:16" x14ac:dyDescent="0.2">
      <c r="C29" s="84"/>
      <c r="D29" s="84"/>
      <c r="E29" s="84"/>
      <c r="F29" s="84"/>
      <c r="G29" s="84"/>
      <c r="H29" s="84"/>
      <c r="I29" s="84"/>
      <c r="J29" s="84"/>
    </row>
    <row r="30" spans="1:16" s="77" customFormat="1" x14ac:dyDescent="0.2">
      <c r="A30" s="86"/>
      <c r="C30" s="87"/>
      <c r="D30" s="87"/>
      <c r="E30" s="87"/>
      <c r="F30" s="87"/>
      <c r="G30" s="87"/>
      <c r="H30" s="87"/>
      <c r="I30" s="87"/>
      <c r="J30" s="87"/>
      <c r="P30" s="91"/>
    </row>
    <row r="31" spans="1:16" x14ac:dyDescent="0.2">
      <c r="E31" s="88"/>
      <c r="J31" s="88"/>
      <c r="P31" s="90"/>
    </row>
    <row r="32" spans="1:16" x14ac:dyDescent="0.2">
      <c r="J32" s="90"/>
    </row>
  </sheetData>
  <mergeCells count="2">
    <mergeCell ref="F3:G4"/>
    <mergeCell ref="A2:C3"/>
  </mergeCells>
  <phoneticPr fontId="1" type="noConversion"/>
  <conditionalFormatting sqref="J32 P31 P15:P16 K16">
    <cfRule type="cellIs" dxfId="0" priority="0" stopIfTrue="1" operator="notEqual">
      <formula>0</formula>
    </cfRule>
  </conditionalFormatting>
  <printOptions horizontalCentered="1"/>
  <pageMargins left="0.25" right="0.25" top="0.5" bottom="0.5" header="0.5" footer="0.5"/>
  <pageSetup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52"/>
  <sheetViews>
    <sheetView workbookViewId="0">
      <selection activeCell="E28" sqref="E28"/>
    </sheetView>
  </sheetViews>
  <sheetFormatPr defaultColWidth="8.75" defaultRowHeight="12.75" x14ac:dyDescent="0.2"/>
  <cols>
    <col min="1" max="1" width="22.375" style="4" customWidth="1"/>
    <col min="2" max="5" width="10.875" style="4" customWidth="1"/>
    <col min="6" max="6" width="10" style="4" customWidth="1"/>
    <col min="7" max="16384" width="8.75" style="4"/>
  </cols>
  <sheetData>
    <row r="1" spans="1:9" ht="15.75" x14ac:dyDescent="0.25">
      <c r="A1" s="64" t="s">
        <v>71</v>
      </c>
    </row>
    <row r="2" spans="1:9" x14ac:dyDescent="0.2">
      <c r="A2" s="407" t="s">
        <v>245</v>
      </c>
      <c r="B2" s="407"/>
      <c r="D2" s="53" t="s">
        <v>177</v>
      </c>
      <c r="E2" s="358" t="s">
        <v>76</v>
      </c>
      <c r="F2" s="359">
        <v>0.05</v>
      </c>
    </row>
    <row r="3" spans="1:9" x14ac:dyDescent="0.2">
      <c r="A3" s="407"/>
      <c r="B3" s="407"/>
    </row>
    <row r="4" spans="1:9" x14ac:dyDescent="0.2">
      <c r="A4" s="93" t="s">
        <v>175</v>
      </c>
      <c r="B4" s="92"/>
      <c r="C4" s="1"/>
      <c r="D4" s="1"/>
    </row>
    <row r="5" spans="1:9" ht="13.5" thickBot="1" x14ac:dyDescent="0.25">
      <c r="A5" s="94" t="s">
        <v>104</v>
      </c>
      <c r="B5" s="61" t="s">
        <v>99</v>
      </c>
      <c r="C5" s="61" t="s">
        <v>105</v>
      </c>
      <c r="D5" s="61" t="s">
        <v>106</v>
      </c>
      <c r="E5" s="61" t="s">
        <v>107</v>
      </c>
      <c r="F5" s="61" t="s">
        <v>108</v>
      </c>
      <c r="G5" s="41" t="s">
        <v>27</v>
      </c>
    </row>
    <row r="6" spans="1:9" x14ac:dyDescent="0.2">
      <c r="A6" s="244" t="s">
        <v>280</v>
      </c>
      <c r="B6" s="286" t="s">
        <v>261</v>
      </c>
      <c r="C6" s="95">
        <v>2000</v>
      </c>
      <c r="D6" s="101" t="s">
        <v>281</v>
      </c>
      <c r="E6" s="101">
        <v>100</v>
      </c>
      <c r="F6" s="270">
        <f>E6*C6</f>
        <v>200000</v>
      </c>
      <c r="G6" s="271">
        <f>IF(B6="Y",F6,0)</f>
        <v>0</v>
      </c>
      <c r="H6" s="272"/>
      <c r="I6" s="273"/>
    </row>
    <row r="7" spans="1:9" x14ac:dyDescent="0.2">
      <c r="A7" s="245" t="s">
        <v>282</v>
      </c>
      <c r="B7" s="247" t="s">
        <v>75</v>
      </c>
      <c r="C7" s="96">
        <v>2500</v>
      </c>
      <c r="D7" s="102" t="s">
        <v>283</v>
      </c>
      <c r="E7" s="102">
        <v>1</v>
      </c>
      <c r="F7" s="43">
        <f t="shared" ref="F7:F11" si="0">E7*C7</f>
        <v>2500</v>
      </c>
      <c r="G7" s="42">
        <f t="shared" ref="G7:G11" si="1">IF(B7="Y",F7,0)</f>
        <v>2500</v>
      </c>
    </row>
    <row r="8" spans="1:9" x14ac:dyDescent="0.2">
      <c r="A8" s="248" t="s">
        <v>211</v>
      </c>
      <c r="B8" s="247" t="s">
        <v>75</v>
      </c>
      <c r="C8" s="96">
        <v>0</v>
      </c>
      <c r="D8" s="249"/>
      <c r="E8" s="102">
        <v>0</v>
      </c>
      <c r="F8" s="43">
        <f t="shared" si="0"/>
        <v>0</v>
      </c>
      <c r="G8" s="42">
        <f t="shared" si="1"/>
        <v>0</v>
      </c>
    </row>
    <row r="9" spans="1:9" x14ac:dyDescent="0.2">
      <c r="A9" s="245" t="s">
        <v>72</v>
      </c>
      <c r="B9" s="247" t="s">
        <v>75</v>
      </c>
      <c r="C9" s="96">
        <v>0</v>
      </c>
      <c r="D9" s="102"/>
      <c r="E9" s="102">
        <v>0</v>
      </c>
      <c r="F9" s="43">
        <f t="shared" si="0"/>
        <v>0</v>
      </c>
      <c r="G9" s="42">
        <f t="shared" si="1"/>
        <v>0</v>
      </c>
    </row>
    <row r="10" spans="1:9" x14ac:dyDescent="0.2">
      <c r="A10" s="245" t="s">
        <v>73</v>
      </c>
      <c r="B10" s="247" t="s">
        <v>75</v>
      </c>
      <c r="C10" s="96">
        <v>0</v>
      </c>
      <c r="D10" s="102"/>
      <c r="E10" s="102">
        <v>0</v>
      </c>
      <c r="F10" s="43">
        <f t="shared" si="0"/>
        <v>0</v>
      </c>
      <c r="G10" s="42">
        <f t="shared" si="1"/>
        <v>0</v>
      </c>
    </row>
    <row r="11" spans="1:9" x14ac:dyDescent="0.2">
      <c r="A11" s="245" t="s">
        <v>74</v>
      </c>
      <c r="B11" s="247" t="s">
        <v>75</v>
      </c>
      <c r="C11" s="96">
        <v>0</v>
      </c>
      <c r="D11" s="102"/>
      <c r="E11" s="102">
        <v>0</v>
      </c>
      <c r="F11" s="103">
        <f t="shared" si="0"/>
        <v>0</v>
      </c>
      <c r="G11" s="42">
        <f t="shared" si="1"/>
        <v>0</v>
      </c>
    </row>
    <row r="12" spans="1:9" ht="13.5" thickBot="1" x14ac:dyDescent="0.25">
      <c r="A12" s="106" t="s">
        <v>5</v>
      </c>
      <c r="B12" s="97" t="s">
        <v>89</v>
      </c>
      <c r="C12" s="98"/>
      <c r="D12" s="98"/>
      <c r="E12" s="99"/>
      <c r="F12" s="100">
        <f>SUM(F6:F11)</f>
        <v>202500</v>
      </c>
      <c r="G12" s="150">
        <f>SUM(G6:G11)</f>
        <v>2500</v>
      </c>
    </row>
    <row r="14" spans="1:9" x14ac:dyDescent="0.2">
      <c r="A14" s="93" t="s">
        <v>110</v>
      </c>
      <c r="B14" s="92"/>
      <c r="C14" s="1"/>
      <c r="D14" s="1"/>
    </row>
    <row r="15" spans="1:9" ht="13.5" thickBot="1" x14ac:dyDescent="0.25">
      <c r="A15" s="94" t="s">
        <v>104</v>
      </c>
      <c r="B15" s="61" t="s">
        <v>99</v>
      </c>
      <c r="C15" s="61" t="s">
        <v>105</v>
      </c>
      <c r="D15" s="61" t="s">
        <v>106</v>
      </c>
      <c r="E15" s="61" t="s">
        <v>107</v>
      </c>
      <c r="F15" s="61" t="s">
        <v>108</v>
      </c>
      <c r="G15" s="41" t="s">
        <v>159</v>
      </c>
    </row>
    <row r="16" spans="1:9" x14ac:dyDescent="0.2">
      <c r="A16" s="244" t="s">
        <v>280</v>
      </c>
      <c r="B16" s="286" t="s">
        <v>261</v>
      </c>
      <c r="C16" s="95">
        <v>2000</v>
      </c>
      <c r="D16" s="101" t="s">
        <v>281</v>
      </c>
      <c r="E16" s="101">
        <v>100</v>
      </c>
      <c r="F16" s="270">
        <f>E16*C16</f>
        <v>200000</v>
      </c>
      <c r="G16" s="271">
        <f>IF(B16="Y",F16,0)</f>
        <v>0</v>
      </c>
      <c r="H16" s="272"/>
      <c r="I16" s="273"/>
    </row>
    <row r="17" spans="1:9" x14ac:dyDescent="0.2">
      <c r="A17" s="245" t="str">
        <f>A7</f>
        <v>Server Maintenance</v>
      </c>
      <c r="B17" s="247" t="s">
        <v>75</v>
      </c>
      <c r="C17" s="96">
        <f>C7*(1+$F$2)</f>
        <v>2625</v>
      </c>
      <c r="D17" s="102" t="str">
        <f>IF(D7="","",D7)</f>
        <v>year</v>
      </c>
      <c r="E17" s="102">
        <f>E7</f>
        <v>1</v>
      </c>
      <c r="F17" s="43">
        <f t="shared" ref="F17:F21" si="2">E17*C17</f>
        <v>2625</v>
      </c>
      <c r="G17" s="42">
        <f t="shared" ref="G17:G21" si="3">IF(B17="Y",F17,0)</f>
        <v>2625</v>
      </c>
    </row>
    <row r="18" spans="1:9" x14ac:dyDescent="0.2">
      <c r="A18" s="248" t="str">
        <f t="shared" ref="A18:A21" si="4">A8</f>
        <v>ODC #3</v>
      </c>
      <c r="B18" s="247" t="s">
        <v>75</v>
      </c>
      <c r="C18" s="96">
        <f>C8*(1+$F$2)</f>
        <v>0</v>
      </c>
      <c r="D18" s="249" t="str">
        <f>IF(D8="","",D8)</f>
        <v/>
      </c>
      <c r="E18" s="102">
        <f t="shared" ref="E18" si="5">E8</f>
        <v>0</v>
      </c>
      <c r="F18" s="43">
        <f t="shared" si="2"/>
        <v>0</v>
      </c>
      <c r="G18" s="42">
        <f t="shared" si="3"/>
        <v>0</v>
      </c>
    </row>
    <row r="19" spans="1:9" x14ac:dyDescent="0.2">
      <c r="A19" s="245" t="str">
        <f t="shared" si="4"/>
        <v>ODC #4</v>
      </c>
      <c r="B19" s="247" t="s">
        <v>75</v>
      </c>
      <c r="C19" s="96">
        <f>C9*(1+$F$2)</f>
        <v>0</v>
      </c>
      <c r="D19" s="102" t="str">
        <f>IF(D9="","",D9)</f>
        <v/>
      </c>
      <c r="E19" s="102">
        <f>E9</f>
        <v>0</v>
      </c>
      <c r="F19" s="43">
        <f t="shared" si="2"/>
        <v>0</v>
      </c>
      <c r="G19" s="42">
        <f t="shared" si="3"/>
        <v>0</v>
      </c>
    </row>
    <row r="20" spans="1:9" x14ac:dyDescent="0.2">
      <c r="A20" s="245" t="str">
        <f t="shared" si="4"/>
        <v>ODC #5</v>
      </c>
      <c r="B20" s="247" t="s">
        <v>75</v>
      </c>
      <c r="C20" s="96">
        <f>C10*(1+$F$2)</f>
        <v>0</v>
      </c>
      <c r="D20" s="102" t="str">
        <f t="shared" ref="D20:D21" si="6">IF(D10="","",D10)</f>
        <v/>
      </c>
      <c r="E20" s="102">
        <f>E10</f>
        <v>0</v>
      </c>
      <c r="F20" s="43">
        <f t="shared" si="2"/>
        <v>0</v>
      </c>
      <c r="G20" s="42">
        <f t="shared" si="3"/>
        <v>0</v>
      </c>
    </row>
    <row r="21" spans="1:9" x14ac:dyDescent="0.2">
      <c r="A21" s="245" t="str">
        <f t="shared" si="4"/>
        <v>ODC #6</v>
      </c>
      <c r="B21" s="247" t="s">
        <v>75</v>
      </c>
      <c r="C21" s="96">
        <f>C11*(1+$F$2)</f>
        <v>0</v>
      </c>
      <c r="D21" s="102" t="str">
        <f t="shared" si="6"/>
        <v/>
      </c>
      <c r="E21" s="102">
        <f>E11</f>
        <v>0</v>
      </c>
      <c r="F21" s="103">
        <f t="shared" si="2"/>
        <v>0</v>
      </c>
      <c r="G21" s="42">
        <f t="shared" si="3"/>
        <v>0</v>
      </c>
    </row>
    <row r="22" spans="1:9" ht="13.5" thickBot="1" x14ac:dyDescent="0.25">
      <c r="A22" s="106" t="s">
        <v>5</v>
      </c>
      <c r="B22" s="97" t="s">
        <v>95</v>
      </c>
      <c r="C22" s="98"/>
      <c r="D22" s="98"/>
      <c r="E22" s="99"/>
      <c r="F22" s="100">
        <f>SUM(F16:F21)</f>
        <v>202625</v>
      </c>
      <c r="G22" s="150">
        <f>SUM(G16:G21)</f>
        <v>2625</v>
      </c>
    </row>
    <row r="24" spans="1:9" x14ac:dyDescent="0.2">
      <c r="A24" s="93" t="s">
        <v>111</v>
      </c>
      <c r="B24" s="92"/>
      <c r="C24" s="1"/>
      <c r="D24" s="1"/>
    </row>
    <row r="25" spans="1:9" ht="13.5" thickBot="1" x14ac:dyDescent="0.25">
      <c r="A25" s="94" t="s">
        <v>104</v>
      </c>
      <c r="B25" s="61" t="s">
        <v>99</v>
      </c>
      <c r="C25" s="61" t="s">
        <v>105</v>
      </c>
      <c r="D25" s="61" t="s">
        <v>106</v>
      </c>
      <c r="E25" s="61" t="s">
        <v>107</v>
      </c>
      <c r="F25" s="61" t="s">
        <v>108</v>
      </c>
      <c r="G25" s="41" t="s">
        <v>159</v>
      </c>
    </row>
    <row r="26" spans="1:9" x14ac:dyDescent="0.2">
      <c r="A26" s="244" t="s">
        <v>280</v>
      </c>
      <c r="B26" s="286" t="s">
        <v>261</v>
      </c>
      <c r="C26" s="95">
        <v>2000</v>
      </c>
      <c r="D26" s="101" t="s">
        <v>281</v>
      </c>
      <c r="E26" s="101">
        <v>50</v>
      </c>
      <c r="F26" s="270">
        <f>E26*C26</f>
        <v>100000</v>
      </c>
      <c r="G26" s="271">
        <f>IF(B26="Y",F26,0)</f>
        <v>0</v>
      </c>
      <c r="H26" s="272"/>
      <c r="I26" s="273"/>
    </row>
    <row r="27" spans="1:9" x14ac:dyDescent="0.2">
      <c r="A27" s="245" t="str">
        <f>A17</f>
        <v>Server Maintenance</v>
      </c>
      <c r="B27" s="247" t="s">
        <v>75</v>
      </c>
      <c r="C27" s="96">
        <f>C17*(1+$F$2)</f>
        <v>2756.25</v>
      </c>
      <c r="D27" s="102" t="str">
        <f>IF(D17="","",D17)</f>
        <v>year</v>
      </c>
      <c r="E27" s="102">
        <v>1</v>
      </c>
      <c r="F27" s="43">
        <f t="shared" ref="F27:F31" si="7">E27*C27</f>
        <v>2756.25</v>
      </c>
      <c r="G27" s="42">
        <f t="shared" ref="G27:G31" si="8">IF(B27="Y",F27,0)</f>
        <v>2756.25</v>
      </c>
    </row>
    <row r="28" spans="1:9" x14ac:dyDescent="0.2">
      <c r="A28" s="248" t="str">
        <f t="shared" ref="A28:A31" si="9">A18</f>
        <v>ODC #3</v>
      </c>
      <c r="B28" s="247" t="s">
        <v>75</v>
      </c>
      <c r="C28" s="96">
        <f>C18*(1+$F$2)</f>
        <v>0</v>
      </c>
      <c r="D28" s="249" t="str">
        <f>IF(D18="","",D18)</f>
        <v/>
      </c>
      <c r="E28" s="102">
        <v>0</v>
      </c>
      <c r="F28" s="43">
        <f t="shared" si="7"/>
        <v>0</v>
      </c>
      <c r="G28" s="42">
        <f t="shared" si="8"/>
        <v>0</v>
      </c>
    </row>
    <row r="29" spans="1:9" x14ac:dyDescent="0.2">
      <c r="A29" s="245" t="str">
        <f t="shared" si="9"/>
        <v>ODC #4</v>
      </c>
      <c r="B29" s="247" t="s">
        <v>75</v>
      </c>
      <c r="C29" s="96">
        <f>C19*(1+$F$2)</f>
        <v>0</v>
      </c>
      <c r="D29" s="102" t="str">
        <f>IF(D19="","",D19)</f>
        <v/>
      </c>
      <c r="E29" s="102">
        <f>E19</f>
        <v>0</v>
      </c>
      <c r="F29" s="43">
        <f t="shared" si="7"/>
        <v>0</v>
      </c>
      <c r="G29" s="42">
        <f t="shared" si="8"/>
        <v>0</v>
      </c>
    </row>
    <row r="30" spans="1:9" x14ac:dyDescent="0.2">
      <c r="A30" s="245" t="str">
        <f t="shared" si="9"/>
        <v>ODC #5</v>
      </c>
      <c r="B30" s="247" t="s">
        <v>75</v>
      </c>
      <c r="C30" s="96">
        <f>C20*(1+$F$2)</f>
        <v>0</v>
      </c>
      <c r="D30" s="102" t="str">
        <f t="shared" ref="D30:D31" si="10">IF(D20="","",D20)</f>
        <v/>
      </c>
      <c r="E30" s="102">
        <f>E20</f>
        <v>0</v>
      </c>
      <c r="F30" s="43">
        <f t="shared" si="7"/>
        <v>0</v>
      </c>
      <c r="G30" s="42">
        <f t="shared" si="8"/>
        <v>0</v>
      </c>
    </row>
    <row r="31" spans="1:9" x14ac:dyDescent="0.2">
      <c r="A31" s="245" t="str">
        <f t="shared" si="9"/>
        <v>ODC #6</v>
      </c>
      <c r="B31" s="247" t="s">
        <v>75</v>
      </c>
      <c r="C31" s="96">
        <f>C21*(1+$F$2)</f>
        <v>0</v>
      </c>
      <c r="D31" s="102" t="str">
        <f t="shared" si="10"/>
        <v/>
      </c>
      <c r="E31" s="102">
        <f>E21</f>
        <v>0</v>
      </c>
      <c r="F31" s="103">
        <f t="shared" si="7"/>
        <v>0</v>
      </c>
      <c r="G31" s="42">
        <f t="shared" si="8"/>
        <v>0</v>
      </c>
    </row>
    <row r="32" spans="1:9" ht="13.5" thickBot="1" x14ac:dyDescent="0.25">
      <c r="A32" s="106" t="s">
        <v>5</v>
      </c>
      <c r="B32" s="97" t="s">
        <v>96</v>
      </c>
      <c r="C32" s="98"/>
      <c r="D32" s="98"/>
      <c r="E32" s="99"/>
      <c r="F32" s="100">
        <f>SUM(F26:F31)</f>
        <v>102756.25</v>
      </c>
      <c r="G32" s="150">
        <f>SUM(G26:G31)</f>
        <v>2756.25</v>
      </c>
    </row>
    <row r="34" spans="1:9" x14ac:dyDescent="0.2">
      <c r="A34" s="93" t="s">
        <v>112</v>
      </c>
      <c r="B34" s="92"/>
      <c r="C34" s="1"/>
      <c r="D34" s="1"/>
    </row>
    <row r="35" spans="1:9" ht="13.5" thickBot="1" x14ac:dyDescent="0.25">
      <c r="A35" s="94" t="s">
        <v>104</v>
      </c>
      <c r="B35" s="61" t="s">
        <v>99</v>
      </c>
      <c r="C35" s="61" t="s">
        <v>105</v>
      </c>
      <c r="D35" s="61" t="s">
        <v>106</v>
      </c>
      <c r="E35" s="61" t="s">
        <v>107</v>
      </c>
      <c r="F35" s="61" t="s">
        <v>108</v>
      </c>
      <c r="G35" s="41" t="s">
        <v>159</v>
      </c>
    </row>
    <row r="36" spans="1:9" x14ac:dyDescent="0.2">
      <c r="A36" s="244" t="s">
        <v>236</v>
      </c>
      <c r="B36" s="286" t="s">
        <v>75</v>
      </c>
      <c r="C36" s="95">
        <v>0</v>
      </c>
      <c r="D36" s="101"/>
      <c r="E36" s="101">
        <v>0</v>
      </c>
      <c r="F36" s="270">
        <f>E36*C36</f>
        <v>0</v>
      </c>
      <c r="G36" s="271">
        <f>IF(B36="Y",F36,0)</f>
        <v>0</v>
      </c>
      <c r="H36" s="272"/>
      <c r="I36" s="273"/>
    </row>
    <row r="37" spans="1:9" x14ac:dyDescent="0.2">
      <c r="A37" s="245" t="str">
        <f>A27</f>
        <v>Server Maintenance</v>
      </c>
      <c r="B37" s="247" t="s">
        <v>75</v>
      </c>
      <c r="C37" s="96">
        <v>0</v>
      </c>
      <c r="D37" s="102"/>
      <c r="E37" s="102">
        <v>0</v>
      </c>
      <c r="F37" s="43">
        <f t="shared" ref="F37:F41" si="11">E37*C37</f>
        <v>0</v>
      </c>
      <c r="G37" s="42">
        <f t="shared" ref="G37:G41" si="12">IF(B37="Y",F37,0)</f>
        <v>0</v>
      </c>
    </row>
    <row r="38" spans="1:9" x14ac:dyDescent="0.2">
      <c r="A38" s="248" t="str">
        <f>A28</f>
        <v>ODC #3</v>
      </c>
      <c r="B38" s="247" t="s">
        <v>75</v>
      </c>
      <c r="C38" s="96">
        <f>C28*(1+$F$2)</f>
        <v>0</v>
      </c>
      <c r="D38" s="249"/>
      <c r="E38" s="102">
        <v>0</v>
      </c>
      <c r="F38" s="43">
        <f t="shared" si="11"/>
        <v>0</v>
      </c>
      <c r="G38" s="42">
        <f t="shared" si="12"/>
        <v>0</v>
      </c>
    </row>
    <row r="39" spans="1:9" x14ac:dyDescent="0.2">
      <c r="A39" s="245" t="str">
        <f t="shared" ref="A39:A41" si="13">A29</f>
        <v>ODC #4</v>
      </c>
      <c r="B39" s="247" t="s">
        <v>75</v>
      </c>
      <c r="C39" s="96">
        <f>C29*(1+$F$2)</f>
        <v>0</v>
      </c>
      <c r="D39" s="102"/>
      <c r="E39" s="102">
        <v>0</v>
      </c>
      <c r="F39" s="43">
        <f t="shared" si="11"/>
        <v>0</v>
      </c>
      <c r="G39" s="42">
        <f t="shared" si="12"/>
        <v>0</v>
      </c>
    </row>
    <row r="40" spans="1:9" x14ac:dyDescent="0.2">
      <c r="A40" s="245" t="str">
        <f t="shared" si="13"/>
        <v>ODC #5</v>
      </c>
      <c r="B40" s="247" t="s">
        <v>75</v>
      </c>
      <c r="C40" s="96">
        <f>C30*(1+$F$2)</f>
        <v>0</v>
      </c>
      <c r="D40" s="102"/>
      <c r="E40" s="102">
        <v>0</v>
      </c>
      <c r="F40" s="43">
        <f t="shared" si="11"/>
        <v>0</v>
      </c>
      <c r="G40" s="42">
        <f t="shared" si="12"/>
        <v>0</v>
      </c>
    </row>
    <row r="41" spans="1:9" x14ac:dyDescent="0.2">
      <c r="A41" s="245" t="str">
        <f t="shared" si="13"/>
        <v>ODC #6</v>
      </c>
      <c r="B41" s="247" t="s">
        <v>75</v>
      </c>
      <c r="C41" s="96">
        <f>C31*(1+$F$2)</f>
        <v>0</v>
      </c>
      <c r="D41" s="102"/>
      <c r="E41" s="102">
        <v>0</v>
      </c>
      <c r="F41" s="103">
        <f t="shared" si="11"/>
        <v>0</v>
      </c>
      <c r="G41" s="42">
        <f t="shared" si="12"/>
        <v>0</v>
      </c>
    </row>
    <row r="42" spans="1:9" ht="13.5" thickBot="1" x14ac:dyDescent="0.25">
      <c r="A42" s="106" t="s">
        <v>5</v>
      </c>
      <c r="B42" s="97" t="s">
        <v>97</v>
      </c>
      <c r="C42" s="98"/>
      <c r="D42" s="98"/>
      <c r="E42" s="99"/>
      <c r="F42" s="100">
        <f>SUM(F36:F41)</f>
        <v>0</v>
      </c>
      <c r="G42" s="150">
        <f>SUM(G36:G41)</f>
        <v>0</v>
      </c>
    </row>
    <row r="44" spans="1:9" hidden="1" x14ac:dyDescent="0.2">
      <c r="A44" s="93" t="s">
        <v>113</v>
      </c>
      <c r="B44" s="92"/>
      <c r="C44" s="1"/>
      <c r="D44" s="1"/>
    </row>
    <row r="45" spans="1:9" ht="13.5" hidden="1" thickBot="1" x14ac:dyDescent="0.25">
      <c r="A45" s="94" t="s">
        <v>104</v>
      </c>
      <c r="B45" s="61" t="s">
        <v>99</v>
      </c>
      <c r="C45" s="61" t="s">
        <v>105</v>
      </c>
      <c r="D45" s="61" t="s">
        <v>106</v>
      </c>
      <c r="E45" s="61" t="s">
        <v>107</v>
      </c>
      <c r="F45" s="61" t="s">
        <v>108</v>
      </c>
      <c r="G45" s="41" t="s">
        <v>159</v>
      </c>
    </row>
    <row r="46" spans="1:9" hidden="1" x14ac:dyDescent="0.2">
      <c r="A46" s="244" t="s">
        <v>236</v>
      </c>
      <c r="B46" s="286" t="s">
        <v>75</v>
      </c>
      <c r="C46" s="95">
        <v>0</v>
      </c>
      <c r="D46" s="101"/>
      <c r="E46" s="101">
        <v>0</v>
      </c>
      <c r="F46" s="270">
        <f>E46*C46</f>
        <v>0</v>
      </c>
      <c r="G46" s="271">
        <f>IF(B46="Y",F46,0)</f>
        <v>0</v>
      </c>
      <c r="H46" s="272"/>
      <c r="I46" s="273"/>
    </row>
    <row r="47" spans="1:9" hidden="1" x14ac:dyDescent="0.2">
      <c r="A47" s="245" t="str">
        <f>A37</f>
        <v>Server Maintenance</v>
      </c>
      <c r="B47" s="247" t="s">
        <v>75</v>
      </c>
      <c r="C47" s="96">
        <f>C37*(1+$F$2)</f>
        <v>0</v>
      </c>
      <c r="D47" s="102"/>
      <c r="E47" s="102">
        <v>0</v>
      </c>
      <c r="F47" s="43">
        <f t="shared" ref="F47:F51" si="14">E47*C47</f>
        <v>0</v>
      </c>
      <c r="G47" s="42">
        <f t="shared" ref="G47:G51" si="15">IF(B47="Y",F47,0)</f>
        <v>0</v>
      </c>
    </row>
    <row r="48" spans="1:9" hidden="1" x14ac:dyDescent="0.2">
      <c r="A48" s="248" t="str">
        <f t="shared" ref="A48:A51" si="16">A38</f>
        <v>ODC #3</v>
      </c>
      <c r="B48" s="247" t="s">
        <v>75</v>
      </c>
      <c r="C48" s="96">
        <f>C38*(1+$F$2)</f>
        <v>0</v>
      </c>
      <c r="D48" s="249"/>
      <c r="E48" s="102">
        <v>0</v>
      </c>
      <c r="F48" s="43">
        <f t="shared" si="14"/>
        <v>0</v>
      </c>
      <c r="G48" s="42">
        <f t="shared" si="15"/>
        <v>0</v>
      </c>
    </row>
    <row r="49" spans="1:7" hidden="1" x14ac:dyDescent="0.2">
      <c r="A49" s="245" t="str">
        <f t="shared" si="16"/>
        <v>ODC #4</v>
      </c>
      <c r="B49" s="247" t="s">
        <v>75</v>
      </c>
      <c r="C49" s="96">
        <f>C39*(1+$F$2)</f>
        <v>0</v>
      </c>
      <c r="D49" s="102"/>
      <c r="E49" s="102">
        <v>0</v>
      </c>
      <c r="F49" s="43">
        <f t="shared" si="14"/>
        <v>0</v>
      </c>
      <c r="G49" s="42">
        <f t="shared" si="15"/>
        <v>0</v>
      </c>
    </row>
    <row r="50" spans="1:7" hidden="1" x14ac:dyDescent="0.2">
      <c r="A50" s="245" t="str">
        <f t="shared" si="16"/>
        <v>ODC #5</v>
      </c>
      <c r="B50" s="247" t="s">
        <v>75</v>
      </c>
      <c r="C50" s="96">
        <f>C40*(1+$F$2)</f>
        <v>0</v>
      </c>
      <c r="D50" s="102"/>
      <c r="E50" s="102">
        <v>0</v>
      </c>
      <c r="F50" s="43">
        <f t="shared" si="14"/>
        <v>0</v>
      </c>
      <c r="G50" s="42">
        <f t="shared" si="15"/>
        <v>0</v>
      </c>
    </row>
    <row r="51" spans="1:7" hidden="1" x14ac:dyDescent="0.2">
      <c r="A51" s="245" t="str">
        <f t="shared" si="16"/>
        <v>ODC #6</v>
      </c>
      <c r="B51" s="247" t="s">
        <v>75</v>
      </c>
      <c r="C51" s="96">
        <f>C41*(1+$F$2)</f>
        <v>0</v>
      </c>
      <c r="D51" s="102"/>
      <c r="E51" s="102">
        <v>0</v>
      </c>
      <c r="F51" s="103">
        <f t="shared" si="14"/>
        <v>0</v>
      </c>
      <c r="G51" s="42">
        <f t="shared" si="15"/>
        <v>0</v>
      </c>
    </row>
    <row r="52" spans="1:7" ht="13.5" hidden="1" thickBot="1" x14ac:dyDescent="0.25">
      <c r="A52" s="106" t="s">
        <v>5</v>
      </c>
      <c r="B52" s="97" t="s">
        <v>98</v>
      </c>
      <c r="C52" s="98"/>
      <c r="D52" s="98"/>
      <c r="E52" s="99"/>
      <c r="F52" s="100">
        <f>SUM(F46:F51)</f>
        <v>0</v>
      </c>
      <c r="G52" s="150">
        <f>SUM(G46:G51)</f>
        <v>0</v>
      </c>
    </row>
  </sheetData>
  <mergeCells count="1">
    <mergeCell ref="A2:B3"/>
  </mergeCells>
  <phoneticPr fontId="1" type="noConversion"/>
  <printOptions horizontalCentered="1"/>
  <pageMargins left="0.2" right="0.2"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Exhibit B </vt:lpstr>
      <vt:lpstr>Prog Inc (if app)</vt:lpstr>
      <vt:lpstr>Personnel</vt:lpstr>
      <vt:lpstr>Travel</vt:lpstr>
      <vt:lpstr>M&amp;S</vt:lpstr>
      <vt:lpstr>Equip</vt:lpstr>
      <vt:lpstr>Consultant</vt:lpstr>
      <vt:lpstr>Subrecipient</vt:lpstr>
      <vt:lpstr>ODCs</vt:lpstr>
      <vt:lpstr>Budget Info &amp; Rates</vt:lpstr>
      <vt:lpstr>Consultant!Print_Area</vt:lpstr>
      <vt:lpstr>Equip!Print_Area</vt:lpstr>
      <vt:lpstr>'Exhibit B '!Print_Area</vt:lpstr>
      <vt:lpstr>'M&amp;S'!Print_Area</vt:lpstr>
      <vt:lpstr>ODCs!Print_Area</vt:lpstr>
      <vt:lpstr>Personnel!Print_Area</vt:lpstr>
      <vt:lpstr>Subrecipient!Print_Area</vt:lpstr>
      <vt:lpstr>Travel!Print_Area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DEROSA</dc:creator>
  <cp:lastModifiedBy>George Hopwood</cp:lastModifiedBy>
  <cp:lastPrinted>2016-01-15T23:18:30Z</cp:lastPrinted>
  <dcterms:created xsi:type="dcterms:W3CDTF">2010-09-07T01:54:35Z</dcterms:created>
  <dcterms:modified xsi:type="dcterms:W3CDTF">2016-01-15T23:18:43Z</dcterms:modified>
</cp:coreProperties>
</file>